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tabRatio="558" activeTab="0"/>
  </bookViews>
  <sheets>
    <sheet name="LEA Funding Formula Overview" sheetId="1" r:id="rId1"/>
    <sheet name="LEA Funding Formula Calculation" sheetId="2" r:id="rId2"/>
    <sheet name="Program Budget Overview" sheetId="3" r:id="rId3"/>
    <sheet name="Program Budget Detail" sheetId="4" r:id="rId4"/>
    <sheet name="z_Formula Assumptions" sheetId="5" state="hidden" r:id="rId5"/>
    <sheet name="z_BudgetCalculatorListMenus" sheetId="6" state="hidden" r:id="rId6"/>
  </sheets>
  <definedNames>
    <definedName name="IHE_Partners">'z_BudgetCalculatorListMenus'!$C$9:$C$19</definedName>
    <definedName name="LEA_Name">'LEA Funding Formula Calculation'!$C$10:$C$33</definedName>
    <definedName name="YesNo">'z_BudgetCalculatorListMenus'!$C$3:$C$4</definedName>
  </definedNames>
  <calcPr fullCalcOnLoad="1"/>
</workbook>
</file>

<file path=xl/sharedStrings.xml><?xml version="1.0" encoding="utf-8"?>
<sst xmlns="http://schemas.openxmlformats.org/spreadsheetml/2006/main" count="338" uniqueCount="212">
  <si>
    <t>Maryland Leads</t>
  </si>
  <si>
    <t>Innovating Maryland's Schools for the Future</t>
  </si>
  <si>
    <t>Total</t>
  </si>
  <si>
    <t>Total:</t>
  </si>
  <si>
    <t>Strategic Area 1: Grow Your Own Staff</t>
  </si>
  <si>
    <t>Local Education Agency (LEA) Funding Formula Calculations</t>
  </si>
  <si>
    <t>Local Education Agency (LEA) Funding Formula Overview</t>
  </si>
  <si>
    <t>Local Education Agency</t>
  </si>
  <si>
    <t>Allegany</t>
  </si>
  <si>
    <t>Anne Arundel</t>
  </si>
  <si>
    <t>Baltimore City</t>
  </si>
  <si>
    <t>Baltimore</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</si>
  <si>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</si>
  <si>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</si>
  <si>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</si>
  <si>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</si>
  <si>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</si>
  <si>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</si>
  <si>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</si>
  <si>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</si>
  <si>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</si>
  <si>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</si>
  <si>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</si>
  <si>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</si>
  <si>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</si>
  <si>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</si>
  <si>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</si>
  <si>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</si>
  <si>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</si>
  <si>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</si>
  <si>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</si>
  <si>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</si>
  <si>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01</t>
  </si>
  <si>
    <t>02</t>
  </si>
  <si>
    <t>30</t>
  </si>
  <si>
    <t>03</t>
  </si>
  <si>
    <t>04</t>
  </si>
  <si>
    <t>05</t>
  </si>
  <si>
    <t>06</t>
  </si>
  <si>
    <t>07</t>
  </si>
  <si>
    <t>08</t>
  </si>
  <si>
    <t>09</t>
  </si>
  <si>
    <t>10</t>
  </si>
  <si>
    <t>11</t>
  </si>
  <si>
    <t>12</t>
  </si>
  <si>
    <t>13</t>
  </si>
  <si>
    <t>14</t>
  </si>
  <si>
    <t>15</t>
  </si>
  <si>
    <t>16</t>
  </si>
  <si>
    <t>17</t>
  </si>
  <si>
    <t>18</t>
  </si>
  <si>
    <t>19</t>
  </si>
  <si>
    <t>20</t>
  </si>
  <si>
    <t>21</t>
  </si>
  <si>
    <t>22</t>
  </si>
  <si>
    <t>23</t>
  </si>
  <si>
    <t>LEA ID</t>
  </si>
  <si>
    <t>Maryland Leads Grant Program Budget Calculator</t>
  </si>
  <si>
    <t>Strategic Focus Area</t>
  </si>
  <si>
    <t>Percent of Total Grant Award</t>
  </si>
  <si>
    <t>Strategic Area 2: Staff Support and Retention</t>
  </si>
  <si>
    <t>Strategic Area 3: The Science of Reading</t>
  </si>
  <si>
    <t>Strategic Area 4: High-Quality School Day Tutoring</t>
  </si>
  <si>
    <t>Strategic Area 5: Reimagining the Use of Time</t>
  </si>
  <si>
    <t>Strategic Area 6: Innovative School Models</t>
  </si>
  <si>
    <t>Strategic Area 7: Transforming Neighborhoods through Excellent Community Schools</t>
  </si>
  <si>
    <t>Maryland Leads Program Budget Summary</t>
  </si>
  <si>
    <t>How to Use the Maryland Leads Grant Program Budget Calculator</t>
  </si>
  <si>
    <t>Total LEA Award:</t>
  </si>
  <si>
    <t>Planned Grant Funds</t>
  </si>
  <si>
    <t>Total Planned Amount:</t>
  </si>
  <si>
    <t>Total Unplanned Amount:</t>
  </si>
  <si>
    <t>Grant Budget Status:</t>
  </si>
  <si>
    <t>LEA Name (select from dropdown):</t>
  </si>
  <si>
    <t>2022-2023</t>
  </si>
  <si>
    <t>2023 - 2024</t>
  </si>
  <si>
    <t>Total Cost for Planned Inputs:</t>
  </si>
  <si>
    <t>Selection/Inclusion in Grant Program</t>
  </si>
  <si>
    <t>Program Component</t>
  </si>
  <si>
    <t>Base Funding</t>
  </si>
  <si>
    <t>Program Selection</t>
  </si>
  <si>
    <t>Menu 1:</t>
  </si>
  <si>
    <t>Yes/No</t>
  </si>
  <si>
    <t>Option 1</t>
  </si>
  <si>
    <t>Yes</t>
  </si>
  <si>
    <t>No</t>
  </si>
  <si>
    <t>Option 2</t>
  </si>
  <si>
    <t>LEA Name:</t>
  </si>
  <si>
    <t>Planning Costs</t>
  </si>
  <si>
    <t>Implementation Costs</t>
  </si>
  <si>
    <t>Multi-Classroom Leader Average Stipend</t>
  </si>
  <si>
    <t>Team Reach Teachers</t>
  </si>
  <si>
    <t>Item</t>
  </si>
  <si>
    <t>Program Personnel for Program Scale</t>
  </si>
  <si>
    <t>Yearlong Residency Programs</t>
  </si>
  <si>
    <t>Support Personnel (Paraprofessionals)</t>
  </si>
  <si>
    <t>Teacher Residency Costs</t>
  </si>
  <si>
    <t>Paraprofessional Costs</t>
  </si>
  <si>
    <t>Training and Partnership Costs</t>
  </si>
  <si>
    <t>Principal Residency Costs</t>
  </si>
  <si>
    <t>Number of Teachers per Year</t>
  </si>
  <si>
    <t>Number of Principals per Year</t>
  </si>
  <si>
    <t>Multi-Classroom Leaders Year One</t>
  </si>
  <si>
    <t>Team Reach Teachers Year One</t>
  </si>
  <si>
    <t>Multi-Classroom Leaders Year Two</t>
  </si>
  <si>
    <t>Team Reach Teachers Year Two</t>
  </si>
  <si>
    <t>Cost Assumption</t>
  </si>
  <si>
    <t>Resident Tuition</t>
  </si>
  <si>
    <t>Placement Costs</t>
  </si>
  <si>
    <t>Stipends</t>
  </si>
  <si>
    <t>Partner Institution Costs</t>
  </si>
  <si>
    <t>IHE Costs</t>
  </si>
  <si>
    <t>Partner Insitute of Higher Education</t>
  </si>
  <si>
    <t>Bowie State University</t>
  </si>
  <si>
    <t>Coppin State University</t>
  </si>
  <si>
    <t>Frostburg State University</t>
  </si>
  <si>
    <t>Salisbury University</t>
  </si>
  <si>
    <t>Towson University</t>
  </si>
  <si>
    <t>University of Baltimore</t>
  </si>
  <si>
    <t>University of Maryland, Baltimore</t>
  </si>
  <si>
    <t>University of Maryland Baltimore County</t>
  </si>
  <si>
    <t>University of Maryland, College Park</t>
  </si>
  <si>
    <t>University of Maryland Eastern Shore</t>
  </si>
  <si>
    <t>University of Maryland Global Campus</t>
  </si>
  <si>
    <t>Option 3</t>
  </si>
  <si>
    <t>Option 4</t>
  </si>
  <si>
    <t>Option 5</t>
  </si>
  <si>
    <t>Option 6</t>
  </si>
  <si>
    <t>Option 7</t>
  </si>
  <si>
    <t>Option 8</t>
  </si>
  <si>
    <t>Option 9</t>
  </si>
  <si>
    <t>Option 10</t>
  </si>
  <si>
    <t>Option 11</t>
  </si>
  <si>
    <t>Marketing and Recruitment</t>
  </si>
  <si>
    <t>Resident Fees</t>
  </si>
  <si>
    <t># of New Cohort Participants with Bachelor's Degree, per year</t>
  </si>
  <si>
    <t>Desired Partner Insitute of Higher Education</t>
  </si>
  <si>
    <t>Modeled from University of Maryland Creative Initiatives in Teacher Education (CITE) Program (Cost assumes 15 LEAs):
-$75.00 - One-time application fee
-$115.00 - One-time registration fee
-$80.30 - Technology fee per semester
-$350.00 - One-time EdTPA program fee (second year of program)
- $768 - Cost per credit (3 credits per class) - 43 credits total
- $60000 - Each awarded LEA would receive one (1.0) FTE to support the growth and expansion of local GYO programs
Additional Assumption: .75 IHE FTE to support project</t>
  </si>
  <si>
    <t>Most assumptions modeled from available studies of Opportunity Culture</t>
  </si>
  <si>
    <t>Program Participant Costs for a Two-Year/Five-Semester Program</t>
  </si>
  <si>
    <t>Per-Student Program Cost Assumption</t>
  </si>
  <si>
    <t>Number of Students Served Total, per year</t>
  </si>
  <si>
    <t>Program Scale</t>
  </si>
  <si>
    <t>Teacher Stipend</t>
  </si>
  <si>
    <t>Teacher Sub/Coverage Costs</t>
  </si>
  <si>
    <t>Number of Teachers Served</t>
  </si>
  <si>
    <t>Teacher Stipends</t>
  </si>
  <si>
    <t>Sub/Coverage Costs</t>
  </si>
  <si>
    <t>Relies primarily on cost estimates from the North Carolina bill and related plan for administering the program (and maps to Mississippi's program as well. Assumes 160 hours over two years, which is roughly two hours per week of training.
Stipend = $50/hr for 40 hours per year = $2,000
Coverage = sub per diem of $20/hr (MCPS, highest CWI) * 40 = $800 per year per teacher
Partner costs =  $300 per person for each six-hour Unit -- modeled from Mississippi LETRS vendor cost = 300 * 14 (14, 6-hour sessions per year) = $4,200</t>
  </si>
  <si>
    <t>Funding for LEAs to staff and stand the program up, begin coordination with an IHE, and build time into summer and fall school calendars
2023 Allocations for this grant include dollars for the tutors and money for a program evaluation:
$4300 per-pupil progam cost (cite here:https://www.nber.org/system/files/working_papers/w28531/w28531.pdf) includes dollars for tutors + additional $700 for fees/extra costs
Additional Assumption: 1.0 IHE FTE to support project</t>
  </si>
  <si>
    <t>Expanded Learning Time</t>
  </si>
  <si>
    <t>Community Collaboration and Mentorship</t>
  </si>
  <si>
    <t>School Day/School Calendar Restructuring</t>
  </si>
  <si>
    <t>School Day/Calendar Per Campus</t>
  </si>
  <si>
    <t>Taken from TCLAS assumption of 15K per campus</t>
  </si>
  <si>
    <t>Number (and Cost) of participating sites/campuses, per year</t>
  </si>
  <si>
    <t>Staff Stipends</t>
  </si>
  <si>
    <t>Research indicates programs that offer 44 to 100 hours of additional instruction have an impact on student
learning. Programs that provide more or less extended learning time are less effective in some cases; however, the
effectiveness depends on the subject area. (https://edtrust.org/wp-content/uploads/2014/09/Expanded-Learning-Time-as-a-Strategy-to-Solve-Unfinished-Learning-March-2021.pdf).
Students have greater increases in learning in ELT classrooms staffed by certified teachers because of these
teachers’ classroom experience, knowledge of the school day curriculum, and familiarity with state standards</t>
  </si>
  <si>
    <t>Staff Stipends per 20 students</t>
  </si>
  <si>
    <t>75 hours per student, 20 students per teacher. $50/hr teacher stipend</t>
  </si>
  <si>
    <t>Staff Training Costs per FTE</t>
  </si>
  <si>
    <t>Staff Training Costs/Coaching</t>
  </si>
  <si>
    <t>(Estimated $300 per hour rate for a 250 hour project scope, per year)</t>
  </si>
  <si>
    <t>School Time Strategic Partnership Costs</t>
  </si>
  <si>
    <t>5,000,000 for 527 students in FY/SY 2019 and 1,125 volunteers ~ $10,000 per student served. This includes program operating costs so LEAs would likely use these costs BOTH for program administration AND program overhead.</t>
  </si>
  <si>
    <t>Cost Per Student</t>
  </si>
  <si>
    <t>Students for One-on-One Student Mentorship, per year</t>
  </si>
  <si>
    <t>New Campus Subsidy</t>
  </si>
  <si>
    <t>Campus Launch</t>
  </si>
  <si>
    <t>Number of Campuses for Launch of New School Model</t>
  </si>
  <si>
    <t>Innovative School Model Selection</t>
  </si>
  <si>
    <t>Strategic School Design Partner (Enter Number of School Models)</t>
  </si>
  <si>
    <t>Strategic Design Partner Rate</t>
  </si>
  <si>
    <t>This award will cover the planning and design of a program to enhance and improve existing community schools and/or develop new innovative school design models for which the LEA may plan to implement in SY 23 and SY 24. Costs include the standard engagement fee for a reputable school resource/school design vendor of the LEA's choosing, but who meets the specific requirements of the Notice of Grant Award:
$300,000 (Estimated $300 per hour rate for a 1000 hour project scope), per school model design (e.g., blended learning, rural, etc)</t>
  </si>
  <si>
    <t>Strategic Area 7: Excellent Community Schools</t>
  </si>
  <si>
    <t>Strategic Community School Partner Rate</t>
  </si>
  <si>
    <t>Number of School Sites Served</t>
  </si>
  <si>
    <t>Strategic Community School Partner Costs for Number of Sites</t>
  </si>
  <si>
    <t>Base Grant</t>
  </si>
  <si>
    <t>Set Aside for Match</t>
  </si>
  <si>
    <t>FRPM Share</t>
  </si>
  <si>
    <t>Economically Disadvantaged Grant Amount</t>
  </si>
  <si>
    <t>FRPM Count</t>
  </si>
  <si>
    <t>Total Max w/ LEA Match</t>
  </si>
  <si>
    <t>Economic Disadvantage Supplement</t>
  </si>
  <si>
    <t>Set Aside for Bonus (Opt in to Sci)</t>
  </si>
  <si>
    <t>Set Aside for Bonus (Opt in to GYO)</t>
  </si>
  <si>
    <t>The Maryland Leads Program grant funding formula is designed to ensure each LEA can receive funding sufficient to successfully design and implement a grant program in at least two of the strategies. An LEA can plan its Maryland Leads program budget with up to the maximum amount of funds calculated through the grant program funding formula. Any remaining, unawarded funds may supplement awarded LEAs at the discretion of the MSDE and planned in conjunction with the LEA and the Maryland Leads grants team.</t>
  </si>
  <si>
    <t>Bonus Funding</t>
  </si>
  <si>
    <t>Matched Funding</t>
  </si>
  <si>
    <t>LEAs can unlock $2,000,000 in bonus funds for either agreeing to implement the Science of Reading focus areas or demonstrating the existence of an exemplary Science of Reading program already in place. LEAs can unlock a similar bonus of $1,000,000 for implementing a Grow Your Own Staff program. These funds are associated with an LEA's plan to participate in either or both the Science of Reading strategy and/or the Grow Your Own strategy. LEAs need not spend the unlocked funds on the Science of Reading or Grow Your Own initiatives, but each program is required to unlock the award amount.</t>
  </si>
  <si>
    <t>Total State Funds Without Match or Bonus</t>
  </si>
  <si>
    <t>Total State Funds With Match</t>
  </si>
  <si>
    <t>Total State Funds with Science of Reading Bonus</t>
  </si>
  <si>
    <t>Total State Funds with Grow Your Own Bonus</t>
  </si>
  <si>
    <t>Total State Funds with All Bonuses</t>
  </si>
  <si>
    <t>Total Max State Funds (Match and Bonuses)</t>
  </si>
  <si>
    <t>Total Max w/ Match and Bonuses</t>
  </si>
  <si>
    <t>LEA Match</t>
  </si>
  <si>
    <t>Bonus 1: Science of Reading</t>
  </si>
  <si>
    <t>Bonus 2: Grow Your Own Staff</t>
  </si>
  <si>
    <t>If Matching, how much?</t>
  </si>
  <si>
    <t>Median cost of a site for StriveTogether Site (as an example), is $880,000 per year, average staff included in that rate is 7, serves 10 schools</t>
  </si>
  <si>
    <t># of New Cohort Participants with No Bachelor's Degree, per year</t>
  </si>
  <si>
    <t>Resident Tuition Bachelor</t>
  </si>
  <si>
    <t>Resident Tuition No Bachelor's</t>
  </si>
  <si>
    <t>No bachelor's assumption parallels MS and TN at ~42,000</t>
  </si>
  <si>
    <t>The Maryland Leads grant application is designed to minimize any required narrative in the grant application. Each LEA will use this completed budget calculator to complete required fields in the grant application.
Only fields with a yellow background are editable in this workbook. Please first select your respective LEA from the dropdown on this worksheet. This overview sheet displays an LEA's total award, total planned grant funds, and remaining available funds based on inputs in the budget calculation tab.  Once you select an LEA, proceed to the next sheet 'Program Budget Detail', and complete the input fields for the programs to which your LEA will apply. Save your sheet and bring it to any Maryland Leads information sessions or strategic focus areas workshops as you develop and explore your grant program plan. Save your completed calculator to assist with completion of the Maryland Leads grant application.</t>
  </si>
  <si>
    <t>The formula provides each LEA with a base amount to ensure that all LEAs, regardless of enrollment, receive sufficient resources to implement Maryland Leads grant programs.</t>
  </si>
  <si>
    <t>The formula provides additional funding to each LEA based upon its proportion of the State's total free- and reduced- price meal (FRPM) eligibility count. The count is based on each LEA's September 30, 2021 FRPM count and excludes carryover.</t>
  </si>
  <si>
    <t>LEAs can supplement their award through a match program with the MSDE. If an LEA agrees to contribute additional funds to their Maryland Leads program budget, the MSDE will match LEA contributions dollar for dollar up to and including $1,500,000. LEAs can use any legally permissible fund source and can braid funds to meet match requirements.</t>
  </si>
  <si>
    <t>Partner Institution Costs (Sample options only for cost estimation. All IHEs, public and private, must apply to partner program)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</si>
</sst>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50">
    <font>
      <sz val="11"/>
      <color theme="1"/>
      <name val="Calibri"/>
      <family val="2"/>
    </font>
    <font>
      <sz val="11"/>
      <color indexed="8"/>
      <name val="Calibri"/>
      <family val="2"/>
    </font>
    <font>
      <b/>
      <sz val="11"/>
      <color indexed="8"/>
      <name val="Lato"/>
      <family val="2"/>
    </font>
    <font>
      <sz val="11"/>
      <color indexed="8"/>
      <name val="Lato"/>
      <family val="2"/>
    </font>
    <font>
      <b/>
      <sz val="12"/>
      <color indexed="9"/>
      <name val="Lato"/>
      <family val="2"/>
    </font>
    <font>
      <b/>
      <sz val="26"/>
      <color indexed="8"/>
      <name val="Lato"/>
      <family val="2"/>
    </font>
    <font>
      <sz val="14"/>
      <color indexed="8"/>
      <name val="Lato"/>
      <family val="2"/>
    </font>
    <font>
      <b/>
      <sz val="11"/>
      <color indexed="9"/>
      <name val="Lato"/>
      <family val="2"/>
    </font>
    <font>
      <sz val="8"/>
      <name val="Calibri"/>
      <family val="2"/>
    </font>
    <font>
      <sz val="11"/>
      <color indexed="9"/>
      <name val="Lato"/>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6"/>
      <color theme="1"/>
      <name val="Lato"/>
      <family val="2"/>
    </font>
    <font>
      <sz val="14"/>
      <color theme="1"/>
      <name val="Lato"/>
      <family val="2"/>
    </font>
    <font>
      <sz val="11"/>
      <color theme="1"/>
      <name val="Lato"/>
      <family val="2"/>
    </font>
    <font>
      <b/>
      <sz val="11"/>
      <color theme="1"/>
      <name val="Lato"/>
      <family val="2"/>
    </font>
    <font>
      <sz val="11"/>
      <color theme="0"/>
      <name val="Lato"/>
      <family val="2"/>
    </font>
    <font>
      <b/>
      <sz val="12"/>
      <color theme="0"/>
      <name val="Lato"/>
      <family val="2"/>
    </font>
    <font>
      <b/>
      <sz val="11"/>
      <color theme="0"/>
      <name val="Lat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CDEE0"/>
        <bgColor indexed="64"/>
      </patternFill>
    </fill>
    <fill>
      <patternFill patternType="solid">
        <fgColor theme="3" tint="0.7999799847602844"/>
        <bgColor indexed="64"/>
      </patternFill>
    </fill>
    <fill>
      <patternFill patternType="solid">
        <fgColor rgb="FFAEB2B6"/>
        <bgColor indexed="64"/>
      </patternFill>
    </fill>
    <fill>
      <patternFill patternType="solid">
        <fgColor rgb="FF0049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2A74A8"/>
      </right>
      <top/>
      <bottom/>
    </border>
    <border>
      <left/>
      <right/>
      <top/>
      <bottom style="thin"/>
    </border>
    <border>
      <left/>
      <right style="thin"/>
      <top style="thin"/>
      <bottom/>
    </border>
    <border>
      <left/>
      <right style="thin"/>
      <top/>
      <bottom/>
    </border>
    <border>
      <left/>
      <right style="thin"/>
      <top/>
      <bottom style="thin"/>
    </border>
    <border>
      <left/>
      <right/>
      <top style="thin">
        <color rgb="FF2A74A8"/>
      </top>
      <bottom style="thin"/>
    </border>
    <border>
      <left/>
      <right/>
      <top style="thin"/>
      <bottom style="thin"/>
    </border>
    <border>
      <left style="thin"/>
      <right/>
      <top style="thin"/>
      <bottom style="thin"/>
    </border>
    <border>
      <left/>
      <right/>
      <top style="thin"/>
      <bottom/>
    </border>
    <border>
      <left style="thin">
        <color rgb="FF2A74A8"/>
      </left>
      <right/>
      <top/>
      <bottom/>
    </border>
    <border>
      <left style="thin"/>
      <right/>
      <top/>
      <bottom/>
    </border>
    <border>
      <left style="thin">
        <color rgb="FF2A74A8"/>
      </left>
      <right/>
      <top style="thin">
        <color rgb="FF2A74A8"/>
      </top>
      <bottom style="thin">
        <color rgb="FF2A74A8"/>
      </bottom>
    </border>
    <border>
      <left/>
      <right/>
      <top style="thin">
        <color rgb="FF2A74A8"/>
      </top>
      <bottom style="thin">
        <color rgb="FF2A74A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5">
    <xf numFmtId="0" fontId="0" fillId="0" borderId="0" xfId="0" applyFont="1" applyAlignment="1">
      <alignment/>
    </xf>
    <xf numFmtId="0" fontId="43" fillId="33" borderId="0" xfId="0" applyFont="1" applyFill="1" applyAlignment="1">
      <alignment horizontal="left"/>
    </xf>
    <xf numFmtId="0" fontId="43" fillId="33" borderId="0" xfId="0" applyFont="1" applyFill="1" applyAlignment="1">
      <alignment/>
    </xf>
    <xf numFmtId="0" fontId="44" fillId="0" borderId="0" xfId="0" applyFont="1" applyFill="1" applyAlignment="1">
      <alignment horizontal="left" indent="1"/>
    </xf>
    <xf numFmtId="0" fontId="45" fillId="33" borderId="0" xfId="0" applyFont="1" applyFill="1" applyAlignment="1">
      <alignment/>
    </xf>
    <xf numFmtId="0" fontId="45" fillId="33" borderId="0" xfId="0" applyFont="1" applyFill="1" applyBorder="1" applyAlignment="1">
      <alignment/>
    </xf>
    <xf numFmtId="0" fontId="45" fillId="33" borderId="10" xfId="0" applyFont="1" applyFill="1" applyBorder="1" applyAlignment="1">
      <alignment/>
    </xf>
    <xf numFmtId="0" fontId="45" fillId="0" borderId="0" xfId="0" applyFont="1" applyAlignment="1">
      <alignment/>
    </xf>
    <xf numFmtId="0" fontId="45" fillId="33" borderId="11" xfId="0" applyFont="1" applyFill="1" applyBorder="1" applyAlignment="1">
      <alignment/>
    </xf>
    <xf numFmtId="0" fontId="46" fillId="33" borderId="11" xfId="0" applyFont="1" applyFill="1" applyBorder="1" applyAlignment="1">
      <alignment horizontal="center"/>
    </xf>
    <xf numFmtId="44" fontId="45" fillId="33" borderId="0" xfId="44" applyFont="1" applyFill="1" applyAlignment="1">
      <alignment/>
    </xf>
    <xf numFmtId="44" fontId="45" fillId="33" borderId="0" xfId="0" applyNumberFormat="1" applyFont="1" applyFill="1" applyAlignment="1">
      <alignment/>
    </xf>
    <xf numFmtId="0" fontId="45" fillId="33" borderId="0" xfId="0" applyFont="1" applyFill="1" applyAlignment="1">
      <alignment horizontal="left" vertical="top" wrapText="1"/>
    </xf>
    <xf numFmtId="0" fontId="46" fillId="33" borderId="11" xfId="0" applyFont="1" applyFill="1" applyBorder="1" applyAlignment="1">
      <alignment horizontal="center" vertical="center"/>
    </xf>
    <xf numFmtId="0" fontId="46" fillId="33" borderId="11" xfId="0" applyFont="1" applyFill="1" applyBorder="1" applyAlignment="1">
      <alignment horizontal="center" vertical="center" wrapText="1"/>
    </xf>
    <xf numFmtId="0" fontId="45" fillId="33" borderId="11" xfId="0" applyFont="1" applyFill="1" applyBorder="1" applyAlignment="1">
      <alignment horizontal="center"/>
    </xf>
    <xf numFmtId="0" fontId="46" fillId="33" borderId="0" xfId="0" applyFont="1" applyFill="1" applyBorder="1" applyAlignment="1">
      <alignment wrapText="1"/>
    </xf>
    <xf numFmtId="0" fontId="44" fillId="0" borderId="0" xfId="0" applyFont="1" applyFill="1" applyAlignment="1">
      <alignment horizontal="left" indent="25"/>
    </xf>
    <xf numFmtId="0" fontId="43" fillId="33" borderId="0" xfId="0" applyFont="1" applyFill="1" applyAlignment="1">
      <alignment horizontal="left" indent="25"/>
    </xf>
    <xf numFmtId="0" fontId="45" fillId="34" borderId="12" xfId="0" applyFont="1" applyFill="1" applyBorder="1" applyAlignment="1">
      <alignment vertical="center" wrapText="1"/>
    </xf>
    <xf numFmtId="0" fontId="45" fillId="34" borderId="13" xfId="0" applyFont="1" applyFill="1" applyBorder="1" applyAlignment="1">
      <alignment/>
    </xf>
    <xf numFmtId="0" fontId="45" fillId="34" borderId="14" xfId="0" applyFont="1" applyFill="1" applyBorder="1" applyAlignment="1">
      <alignment horizontal="left" wrapText="1"/>
    </xf>
    <xf numFmtId="0" fontId="45" fillId="33" borderId="0" xfId="0" applyFont="1" applyFill="1" applyAlignment="1">
      <alignment horizontal="right"/>
    </xf>
    <xf numFmtId="0" fontId="45" fillId="33" borderId="12" xfId="0" applyFont="1" applyFill="1" applyBorder="1" applyAlignment="1">
      <alignment horizontal="right"/>
    </xf>
    <xf numFmtId="44" fontId="45" fillId="33" borderId="11" xfId="44" applyFont="1" applyFill="1" applyBorder="1" applyAlignment="1">
      <alignment/>
    </xf>
    <xf numFmtId="10" fontId="45" fillId="33" borderId="0" xfId="57" applyNumberFormat="1" applyFont="1" applyFill="1" applyAlignment="1">
      <alignment horizontal="left" indent="8"/>
    </xf>
    <xf numFmtId="0" fontId="46" fillId="33" borderId="0" xfId="0" applyFont="1" applyFill="1" applyBorder="1" applyAlignment="1">
      <alignment horizontal="right"/>
    </xf>
    <xf numFmtId="10" fontId="45" fillId="33" borderId="0" xfId="57" applyNumberFormat="1" applyFont="1" applyFill="1" applyBorder="1" applyAlignment="1">
      <alignment horizontal="left" wrapText="1" indent="8"/>
    </xf>
    <xf numFmtId="10" fontId="45" fillId="33" borderId="11" xfId="57" applyNumberFormat="1" applyFont="1" applyFill="1" applyBorder="1" applyAlignment="1">
      <alignment horizontal="left" vertical="center" indent="8"/>
    </xf>
    <xf numFmtId="0" fontId="45" fillId="33" borderId="0" xfId="0" applyFont="1" applyFill="1" applyAlignment="1">
      <alignment vertical="center"/>
    </xf>
    <xf numFmtId="0" fontId="45" fillId="33" borderId="0" xfId="0" applyFont="1" applyFill="1" applyAlignment="1">
      <alignment horizontal="center" vertical="center"/>
    </xf>
    <xf numFmtId="164" fontId="45" fillId="33" borderId="0" xfId="44" applyNumberFormat="1" applyFont="1" applyFill="1" applyAlignment="1">
      <alignment/>
    </xf>
    <xf numFmtId="164" fontId="45" fillId="33" borderId="11" xfId="44" applyNumberFormat="1" applyFont="1" applyFill="1" applyBorder="1" applyAlignment="1">
      <alignment/>
    </xf>
    <xf numFmtId="164" fontId="45" fillId="33" borderId="0" xfId="0" applyNumberFormat="1" applyFont="1" applyFill="1" applyAlignment="1">
      <alignment/>
    </xf>
    <xf numFmtId="0" fontId="45" fillId="33" borderId="0" xfId="0" applyFont="1" applyFill="1" applyBorder="1" applyAlignment="1">
      <alignment horizontal="center"/>
    </xf>
    <xf numFmtId="0" fontId="45" fillId="33" borderId="0" xfId="0" applyFont="1" applyFill="1" applyAlignment="1">
      <alignment horizontal="center"/>
    </xf>
    <xf numFmtId="164" fontId="45" fillId="33" borderId="0" xfId="44" applyNumberFormat="1" applyFont="1" applyFill="1" applyBorder="1" applyAlignment="1">
      <alignment horizontal="center"/>
    </xf>
    <xf numFmtId="164" fontId="45" fillId="33" borderId="0" xfId="44" applyNumberFormat="1" applyFont="1" applyFill="1" applyBorder="1" applyAlignment="1">
      <alignment/>
    </xf>
    <xf numFmtId="0" fontId="45" fillId="33" borderId="0" xfId="0" applyFont="1" applyFill="1" applyBorder="1" applyAlignment="1">
      <alignment horizontal="left" indent="2"/>
    </xf>
    <xf numFmtId="164" fontId="45" fillId="33" borderId="0" xfId="44" applyNumberFormat="1" applyFont="1" applyFill="1" applyBorder="1" applyAlignment="1">
      <alignment wrapText="1"/>
    </xf>
    <xf numFmtId="164" fontId="45" fillId="33" borderId="11" xfId="44" applyNumberFormat="1" applyFont="1" applyFill="1" applyBorder="1" applyAlignment="1">
      <alignment vertical="center"/>
    </xf>
    <xf numFmtId="164" fontId="45" fillId="33" borderId="0" xfId="0" applyNumberFormat="1" applyFont="1" applyFill="1" applyAlignment="1">
      <alignment horizontal="left"/>
    </xf>
    <xf numFmtId="0" fontId="46" fillId="33" borderId="0" xfId="0" applyFont="1" applyFill="1" applyAlignment="1">
      <alignment horizontal="right" indent="5"/>
    </xf>
    <xf numFmtId="0" fontId="45" fillId="33" borderId="15" xfId="0" applyFont="1" applyFill="1" applyBorder="1" applyAlignment="1">
      <alignment/>
    </xf>
    <xf numFmtId="0" fontId="46" fillId="33" borderId="11" xfId="0" applyFont="1" applyFill="1" applyBorder="1" applyAlignment="1">
      <alignment horizontal="right" indent="5"/>
    </xf>
    <xf numFmtId="0" fontId="45" fillId="33" borderId="0" xfId="0" applyFont="1" applyFill="1" applyBorder="1" applyAlignment="1">
      <alignment horizontal="left" indent="3"/>
    </xf>
    <xf numFmtId="0" fontId="45" fillId="33" borderId="0" xfId="0" applyFont="1" applyFill="1" applyBorder="1" applyAlignment="1">
      <alignment horizontal="left" indent="4"/>
    </xf>
    <xf numFmtId="0" fontId="45" fillId="33" borderId="0" xfId="0" applyFont="1" applyFill="1" applyBorder="1" applyAlignment="1">
      <alignment horizontal="left" indent="9"/>
    </xf>
    <xf numFmtId="0" fontId="45" fillId="33" borderId="0" xfId="0" applyFont="1" applyFill="1" applyAlignment="1">
      <alignment horizontal="left" indent="9"/>
    </xf>
    <xf numFmtId="0" fontId="45" fillId="33" borderId="11" xfId="0" applyFont="1" applyFill="1" applyBorder="1" applyAlignment="1">
      <alignment horizontal="left" indent="3"/>
    </xf>
    <xf numFmtId="0" fontId="46" fillId="33" borderId="0" xfId="0" applyFont="1" applyFill="1" applyAlignment="1">
      <alignment horizontal="center"/>
    </xf>
    <xf numFmtId="44" fontId="45" fillId="34" borderId="16" xfId="44" applyFont="1" applyFill="1" applyBorder="1" applyAlignment="1">
      <alignment/>
    </xf>
    <xf numFmtId="164" fontId="45" fillId="34" borderId="17" xfId="44" applyNumberFormat="1" applyFont="1" applyFill="1" applyBorder="1" applyAlignment="1">
      <alignment/>
    </xf>
    <xf numFmtId="10" fontId="45" fillId="34" borderId="16" xfId="57" applyNumberFormat="1" applyFont="1" applyFill="1" applyBorder="1" applyAlignment="1">
      <alignment horizontal="left" indent="8"/>
    </xf>
    <xf numFmtId="0" fontId="45" fillId="33" borderId="11" xfId="0" applyFont="1" applyFill="1" applyBorder="1" applyAlignment="1">
      <alignment horizontal="left" indent="9"/>
    </xf>
    <xf numFmtId="0" fontId="45" fillId="33" borderId="0" xfId="0" applyFont="1" applyFill="1" applyAlignment="1">
      <alignment vertical="center" wrapText="1"/>
    </xf>
    <xf numFmtId="164" fontId="45" fillId="33" borderId="11" xfId="44" applyNumberFormat="1" applyFont="1" applyFill="1" applyBorder="1" applyAlignment="1">
      <alignment horizontal="center"/>
    </xf>
    <xf numFmtId="0" fontId="45" fillId="33" borderId="0" xfId="0" applyFont="1" applyFill="1" applyAlignment="1">
      <alignment horizontal="left" wrapText="1"/>
    </xf>
    <xf numFmtId="44" fontId="45" fillId="34" borderId="11" xfId="44" applyFont="1" applyFill="1" applyBorder="1" applyAlignment="1">
      <alignment/>
    </xf>
    <xf numFmtId="0" fontId="46" fillId="33" borderId="16" xfId="0" applyFont="1" applyFill="1" applyBorder="1" applyAlignment="1">
      <alignment horizontal="center" vertical="center" wrapText="1"/>
    </xf>
    <xf numFmtId="44" fontId="45" fillId="35" borderId="0" xfId="44" applyFont="1" applyFill="1" applyAlignment="1">
      <alignment/>
    </xf>
    <xf numFmtId="44" fontId="45" fillId="35" borderId="11" xfId="44" applyFont="1" applyFill="1" applyBorder="1" applyAlignment="1">
      <alignment/>
    </xf>
    <xf numFmtId="0" fontId="46" fillId="33" borderId="0" xfId="0" applyFont="1" applyFill="1" applyBorder="1" applyAlignment="1">
      <alignment horizontal="center" vertical="center"/>
    </xf>
    <xf numFmtId="164" fontId="45" fillId="3" borderId="0" xfId="44" applyNumberFormat="1" applyFont="1" applyFill="1" applyAlignment="1">
      <alignment/>
    </xf>
    <xf numFmtId="1" fontId="45" fillId="3" borderId="0" xfId="44" applyNumberFormat="1" applyFont="1" applyFill="1" applyAlignment="1">
      <alignment horizontal="left" indent="5"/>
    </xf>
    <xf numFmtId="10" fontId="45" fillId="3" borderId="0" xfId="57" applyNumberFormat="1" applyFont="1" applyFill="1" applyAlignment="1">
      <alignment horizontal="left" indent="5"/>
    </xf>
    <xf numFmtId="164" fontId="45" fillId="3" borderId="0" xfId="44" applyNumberFormat="1" applyFont="1" applyFill="1" applyAlignment="1">
      <alignment horizontal="center"/>
    </xf>
    <xf numFmtId="164" fontId="45" fillId="3" borderId="11" xfId="44" applyNumberFormat="1" applyFont="1" applyFill="1" applyBorder="1" applyAlignment="1">
      <alignment/>
    </xf>
    <xf numFmtId="1" fontId="45" fillId="3" borderId="11" xfId="44" applyNumberFormat="1" applyFont="1" applyFill="1" applyBorder="1" applyAlignment="1">
      <alignment horizontal="left" indent="5"/>
    </xf>
    <xf numFmtId="10" fontId="45" fillId="3" borderId="11" xfId="57" applyNumberFormat="1" applyFont="1" applyFill="1" applyBorder="1" applyAlignment="1">
      <alignment horizontal="left" indent="5"/>
    </xf>
    <xf numFmtId="164" fontId="45" fillId="3" borderId="11" xfId="44" applyNumberFormat="1" applyFont="1" applyFill="1" applyBorder="1" applyAlignment="1">
      <alignment horizontal="center"/>
    </xf>
    <xf numFmtId="44" fontId="45" fillId="7" borderId="0" xfId="44" applyFont="1" applyFill="1" applyAlignment="1">
      <alignment/>
    </xf>
    <xf numFmtId="44" fontId="45" fillId="7" borderId="11" xfId="44" applyFont="1" applyFill="1" applyBorder="1" applyAlignment="1">
      <alignment/>
    </xf>
    <xf numFmtId="164" fontId="45" fillId="36" borderId="0" xfId="0" applyNumberFormat="1" applyFont="1" applyFill="1" applyAlignment="1">
      <alignment/>
    </xf>
    <xf numFmtId="1" fontId="45" fillId="36" borderId="0" xfId="0" applyNumberFormat="1" applyFont="1" applyFill="1" applyAlignment="1">
      <alignment horizontal="center"/>
    </xf>
    <xf numFmtId="10" fontId="45" fillId="36" borderId="0" xfId="57" applyNumberFormat="1" applyFont="1" applyFill="1" applyAlignment="1">
      <alignment/>
    </xf>
    <xf numFmtId="0" fontId="46" fillId="33" borderId="0" xfId="0" applyFont="1" applyFill="1" applyBorder="1" applyAlignment="1">
      <alignment/>
    </xf>
    <xf numFmtId="9" fontId="45" fillId="33" borderId="0" xfId="57" applyFont="1" applyFill="1" applyAlignment="1">
      <alignment/>
    </xf>
    <xf numFmtId="2" fontId="45" fillId="33" borderId="0" xfId="57" applyNumberFormat="1" applyFont="1" applyFill="1" applyAlignment="1">
      <alignment/>
    </xf>
    <xf numFmtId="44" fontId="47" fillId="33" borderId="0" xfId="44" applyFont="1" applyFill="1" applyAlignment="1">
      <alignment/>
    </xf>
    <xf numFmtId="0" fontId="47" fillId="33" borderId="0" xfId="0" applyFont="1" applyFill="1" applyAlignment="1">
      <alignment/>
    </xf>
    <xf numFmtId="0" fontId="45" fillId="5" borderId="0" xfId="0" applyFont="1" applyFill="1" applyBorder="1" applyAlignment="1" applyProtection="1">
      <alignment horizontal="center"/>
      <protection locked="0"/>
    </xf>
    <xf numFmtId="0" fontId="45" fillId="5" borderId="0" xfId="0" applyFont="1" applyFill="1" applyAlignment="1" applyProtection="1">
      <alignment/>
      <protection locked="0"/>
    </xf>
    <xf numFmtId="0" fontId="45" fillId="5" borderId="11" xfId="0" applyFont="1" applyFill="1" applyBorder="1" applyAlignment="1" applyProtection="1">
      <alignment/>
      <protection locked="0"/>
    </xf>
    <xf numFmtId="0" fontId="45" fillId="5" borderId="11" xfId="0" applyFont="1" applyFill="1" applyBorder="1" applyAlignment="1" applyProtection="1">
      <alignment horizontal="center"/>
      <protection locked="0"/>
    </xf>
    <xf numFmtId="0" fontId="45" fillId="33" borderId="18" xfId="0" applyFont="1" applyFill="1" applyBorder="1" applyAlignment="1">
      <alignment horizontal="left" vertical="center" wrapText="1"/>
    </xf>
    <xf numFmtId="0" fontId="45" fillId="33" borderId="11" xfId="0" applyFont="1" applyFill="1" applyBorder="1" applyAlignment="1">
      <alignment horizontal="left" vertical="center" wrapText="1"/>
    </xf>
    <xf numFmtId="0" fontId="43" fillId="33" borderId="0" xfId="0" applyFont="1" applyFill="1" applyAlignment="1">
      <alignment horizontal="left"/>
    </xf>
    <xf numFmtId="0" fontId="48" fillId="37" borderId="19" xfId="0" applyFont="1" applyFill="1" applyBorder="1" applyAlignment="1" applyProtection="1">
      <alignment horizontal="center" vertical="center"/>
      <protection/>
    </xf>
    <xf numFmtId="0" fontId="48" fillId="37" borderId="0" xfId="0" applyFont="1" applyFill="1" applyBorder="1" applyAlignment="1" applyProtection="1">
      <alignment horizontal="center" vertical="center"/>
      <protection/>
    </xf>
    <xf numFmtId="0" fontId="48" fillId="37" borderId="20" xfId="0" applyFont="1" applyFill="1" applyBorder="1" applyAlignment="1">
      <alignment horizontal="center" vertical="center" wrapText="1"/>
    </xf>
    <xf numFmtId="0" fontId="48" fillId="37" borderId="0" xfId="0" applyFont="1" applyFill="1" applyBorder="1" applyAlignment="1">
      <alignment horizontal="center" vertical="center" wrapText="1"/>
    </xf>
    <xf numFmtId="0" fontId="45" fillId="33" borderId="16" xfId="0" applyFont="1" applyFill="1" applyBorder="1" applyAlignment="1">
      <alignment horizontal="left" vertical="center" wrapText="1"/>
    </xf>
    <xf numFmtId="0" fontId="48" fillId="37" borderId="21" xfId="0" applyFont="1" applyFill="1" applyBorder="1" applyAlignment="1">
      <alignment horizontal="center" vertical="center"/>
    </xf>
    <xf numFmtId="0" fontId="48" fillId="37" borderId="22" xfId="0" applyFont="1" applyFill="1" applyBorder="1" applyAlignment="1">
      <alignment horizontal="center" vertical="center"/>
    </xf>
    <xf numFmtId="0" fontId="45" fillId="33" borderId="0" xfId="0" applyFont="1" applyFill="1" applyAlignment="1">
      <alignment horizontal="center"/>
    </xf>
    <xf numFmtId="0" fontId="45" fillId="33" borderId="0" xfId="0" applyFont="1" applyFill="1" applyBorder="1" applyAlignment="1">
      <alignment horizontal="left" vertical="center" wrapText="1"/>
    </xf>
    <xf numFmtId="0" fontId="49" fillId="37" borderId="21" xfId="0" applyFont="1" applyFill="1" applyBorder="1" applyAlignment="1">
      <alignment horizontal="center"/>
    </xf>
    <xf numFmtId="0" fontId="49" fillId="37" borderId="22" xfId="0" applyFont="1" applyFill="1" applyBorder="1" applyAlignment="1">
      <alignment horizontal="center"/>
    </xf>
    <xf numFmtId="0" fontId="46" fillId="7" borderId="0" xfId="0" applyFont="1" applyFill="1" applyAlignment="1">
      <alignment horizontal="center"/>
    </xf>
    <xf numFmtId="0" fontId="45" fillId="33" borderId="0" xfId="0" applyFont="1" applyFill="1" applyAlignment="1">
      <alignment horizontal="left" vertical="top" wrapText="1"/>
    </xf>
    <xf numFmtId="0" fontId="45" fillId="33" borderId="0" xfId="0" applyFont="1" applyFill="1" applyAlignment="1">
      <alignment horizontal="left" vertical="center"/>
    </xf>
    <xf numFmtId="0" fontId="45" fillId="33" borderId="0" xfId="0" applyFont="1" applyFill="1" applyAlignment="1">
      <alignment vertical="center" wrapText="1"/>
    </xf>
    <xf numFmtId="0" fontId="45" fillId="33" borderId="0" xfId="0" applyFont="1" applyFill="1" applyAlignment="1">
      <alignment horizontal="left" wrapText="1"/>
    </xf>
    <xf numFmtId="0" fontId="45"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ont>
        <color rgb="FF006100"/>
      </font>
      <fill>
        <patternFill>
          <bgColor rgb="FFC6EFCE"/>
        </patternFill>
      </fill>
    </dxf>
    <dxf>
      <font>
        <color rgb="FF9C0006"/>
      </font>
      <fill>
        <patternFill>
          <bgColor rgb="FFFFC7CE"/>
        </patternFill>
      </fill>
    </dxf>
    <dxf>
      <fill>
        <patternFill>
          <bgColor theme="4" tint="0.7999799847602844"/>
        </patternFill>
      </fill>
    </dxf>
    <dxf>
      <fill>
        <patternFill>
          <bgColor theme="4" tint="0.7999799847602844"/>
        </patternFill>
      </fill>
    </dxf>
    <dxf>
      <font>
        <color rgb="FF006100"/>
      </font>
      <fill>
        <patternFill>
          <bgColor rgb="FFC6EFCE"/>
        </patternFill>
      </fill>
    </dxf>
    <dxf>
      <font>
        <color rgb="FF9C0006"/>
      </font>
      <fill>
        <patternFill>
          <bgColor rgb="FFFFC7CE"/>
        </patternFill>
      </fill>
    </dxf>
    <dxf>
      <fill>
        <patternFill>
          <bgColor theme="4" tint="0.7999799847602844"/>
        </patternFill>
      </fill>
    </dxf>
    <dxf>
      <fill>
        <patternFill>
          <bgColor theme="4" tint="0.7999799847602844"/>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9525</xdr:rowOff>
    </xdr:from>
    <xdr:to>
      <xdr:col>1</xdr:col>
      <xdr:colOff>1619250</xdr:colOff>
      <xdr:row>6</xdr:row>
      <xdr:rowOff>171450</xdr:rowOff>
    </xdr:to>
    <xdr:pic>
      <xdr:nvPicPr>
        <xdr:cNvPr id="1" name="Picture 1"/>
        <xdr:cNvPicPr preferRelativeResize="1">
          <a:picLocks noChangeAspect="1"/>
        </xdr:cNvPicPr>
      </xdr:nvPicPr>
      <xdr:blipFill>
        <a:blip r:embed="rId1"/>
        <a:stretch>
          <a:fillRect/>
        </a:stretch>
      </xdr:blipFill>
      <xdr:spPr>
        <a:xfrm>
          <a:off x="219075" y="190500"/>
          <a:ext cx="24193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9525</xdr:rowOff>
    </xdr:from>
    <xdr:to>
      <xdr:col>2</xdr:col>
      <xdr:colOff>1466850</xdr:colOff>
      <xdr:row>4</xdr:row>
      <xdr:rowOff>152400</xdr:rowOff>
    </xdr:to>
    <xdr:pic>
      <xdr:nvPicPr>
        <xdr:cNvPr id="1" name="Picture 1"/>
        <xdr:cNvPicPr preferRelativeResize="1">
          <a:picLocks noChangeAspect="1"/>
        </xdr:cNvPicPr>
      </xdr:nvPicPr>
      <xdr:blipFill>
        <a:blip r:embed="rId1"/>
        <a:stretch>
          <a:fillRect/>
        </a:stretch>
      </xdr:blipFill>
      <xdr:spPr>
        <a:xfrm>
          <a:off x="219075" y="190500"/>
          <a:ext cx="2390775"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9525</xdr:rowOff>
    </xdr:from>
    <xdr:to>
      <xdr:col>1</xdr:col>
      <xdr:colOff>2047875</xdr:colOff>
      <xdr:row>5</xdr:row>
      <xdr:rowOff>142875</xdr:rowOff>
    </xdr:to>
    <xdr:pic>
      <xdr:nvPicPr>
        <xdr:cNvPr id="1" name="Picture 4"/>
        <xdr:cNvPicPr preferRelativeResize="1">
          <a:picLocks noChangeAspect="1"/>
        </xdr:cNvPicPr>
      </xdr:nvPicPr>
      <xdr:blipFill>
        <a:blip r:embed="rId1"/>
        <a:stretch>
          <a:fillRect/>
        </a:stretch>
      </xdr:blipFill>
      <xdr:spPr>
        <a:xfrm>
          <a:off x="219075" y="190500"/>
          <a:ext cx="241935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1</xdr:row>
      <xdr:rowOff>9525</xdr:rowOff>
    </xdr:from>
    <xdr:to>
      <xdr:col>1</xdr:col>
      <xdr:colOff>2038350</xdr:colOff>
      <xdr:row>6</xdr:row>
      <xdr:rowOff>171450</xdr:rowOff>
    </xdr:to>
    <xdr:pic>
      <xdr:nvPicPr>
        <xdr:cNvPr id="1" name="Picture 1"/>
        <xdr:cNvPicPr preferRelativeResize="1">
          <a:picLocks noChangeAspect="1"/>
        </xdr:cNvPicPr>
      </xdr:nvPicPr>
      <xdr:blipFill>
        <a:blip r:embed="rId1"/>
        <a:stretch>
          <a:fillRect/>
        </a:stretch>
      </xdr:blipFill>
      <xdr:spPr>
        <a:xfrm>
          <a:off x="219075" y="190500"/>
          <a:ext cx="24098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4980"/>
  </sheetPr>
  <dimension ref="A3:G16"/>
  <sheetViews>
    <sheetView tabSelected="1" zoomScale="90" zoomScaleNormal="90" zoomScalePageLayoutView="0" workbookViewId="0" topLeftCell="A1">
      <selection activeCell="B9" sqref="B9:G9"/>
    </sheetView>
  </sheetViews>
  <sheetFormatPr defaultColWidth="8.8515625" defaultRowHeight="15"/>
  <cols>
    <col min="1" max="1" width="15.28125" style="4" customWidth="1"/>
    <col min="2" max="2" width="24.421875" style="4" customWidth="1"/>
    <col min="3" max="3" width="59.8515625" style="4" customWidth="1"/>
    <col min="4" max="4" width="58.140625" style="4" customWidth="1"/>
    <col min="5" max="5" width="19.28125" style="4" customWidth="1"/>
    <col min="6" max="6" width="21.7109375" style="4" customWidth="1"/>
    <col min="7" max="7" width="19.8515625" style="4" customWidth="1"/>
    <col min="8" max="16384" width="8.8515625" style="4" customWidth="1"/>
  </cols>
  <sheetData>
    <row r="2" ht="14.25"/>
    <row r="3" spans="3:5" ht="14.25" customHeight="1">
      <c r="C3" s="87" t="s">
        <v>0</v>
      </c>
      <c r="D3" s="1"/>
      <c r="E3" s="1"/>
    </row>
    <row r="4" spans="3:5" ht="14.25" customHeight="1">
      <c r="C4" s="87"/>
      <c r="D4" s="1"/>
      <c r="E4" s="1"/>
    </row>
    <row r="5" spans="3:5" ht="14.25" customHeight="1">
      <c r="C5" s="87"/>
      <c r="D5" s="1"/>
      <c r="E5" s="1"/>
    </row>
    <row r="6" ht="18">
      <c r="C6" s="3" t="s">
        <v>1</v>
      </c>
    </row>
    <row r="7" ht="14.25"/>
    <row r="8" spans="2:5" ht="14.25">
      <c r="B8" s="5"/>
      <c r="E8" s="5"/>
    </row>
    <row r="9" spans="1:7" ht="15">
      <c r="A9" s="6"/>
      <c r="B9" s="88" t="s">
        <v>6</v>
      </c>
      <c r="C9" s="89"/>
      <c r="D9" s="89"/>
      <c r="E9" s="89"/>
      <c r="F9" s="89"/>
      <c r="G9" s="89"/>
    </row>
    <row r="10" ht="14.25">
      <c r="B10" s="5"/>
    </row>
    <row r="11" spans="2:7" ht="78" customHeight="1">
      <c r="B11" s="90" t="s">
        <v>187</v>
      </c>
      <c r="C11" s="91"/>
      <c r="D11" s="91"/>
      <c r="E11" s="91"/>
      <c r="F11" s="91"/>
      <c r="G11" s="91"/>
    </row>
    <row r="12" spans="2:6" ht="14.25">
      <c r="B12" s="5"/>
      <c r="C12" s="5"/>
      <c r="D12" s="5"/>
      <c r="E12" s="5"/>
      <c r="F12" s="5"/>
    </row>
    <row r="13" spans="2:7" ht="42" customHeight="1">
      <c r="B13" s="13" t="s">
        <v>79</v>
      </c>
      <c r="C13" s="86" t="s">
        <v>208</v>
      </c>
      <c r="D13" s="86"/>
      <c r="E13" s="86"/>
      <c r="F13" s="86"/>
      <c r="G13" s="86"/>
    </row>
    <row r="14" spans="2:7" ht="49.5" customHeight="1">
      <c r="B14" s="14" t="s">
        <v>184</v>
      </c>
      <c r="C14" s="92" t="s">
        <v>209</v>
      </c>
      <c r="D14" s="92"/>
      <c r="E14" s="92"/>
      <c r="F14" s="92"/>
      <c r="G14" s="92"/>
    </row>
    <row r="15" spans="2:7" s="12" customFormat="1" ht="39.75" customHeight="1">
      <c r="B15" s="59" t="s">
        <v>189</v>
      </c>
      <c r="C15" s="92" t="s">
        <v>210</v>
      </c>
      <c r="D15" s="92"/>
      <c r="E15" s="92"/>
      <c r="F15" s="92"/>
      <c r="G15" s="92"/>
    </row>
    <row r="16" spans="2:7" ht="69.75" customHeight="1">
      <c r="B16" s="62" t="s">
        <v>188</v>
      </c>
      <c r="C16" s="85" t="s">
        <v>190</v>
      </c>
      <c r="D16" s="85"/>
      <c r="E16" s="85"/>
      <c r="F16" s="85"/>
      <c r="G16" s="85"/>
    </row>
  </sheetData>
  <sheetProtection sheet="1" objects="1" scenarios="1" selectLockedCells="1"/>
  <mergeCells count="7">
    <mergeCell ref="C16:G16"/>
    <mergeCell ref="C13:G13"/>
    <mergeCell ref="C3:C5"/>
    <mergeCell ref="B9:G9"/>
    <mergeCell ref="B11:G11"/>
    <mergeCell ref="C14:G14"/>
    <mergeCell ref="C15:G15"/>
  </mergeCells>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tabColor rgb="FF004980"/>
    <pageSetUpPr fitToPage="1"/>
  </sheetPr>
  <dimension ref="A3:R34"/>
  <sheetViews>
    <sheetView zoomScale="80" zoomScaleNormal="80" zoomScalePageLayoutView="0" workbookViewId="0" topLeftCell="A1">
      <selection activeCell="B7" sqref="B7:R7"/>
    </sheetView>
  </sheetViews>
  <sheetFormatPr defaultColWidth="8.8515625" defaultRowHeight="15"/>
  <cols>
    <col min="1" max="1" width="8.421875" style="4" customWidth="1"/>
    <col min="2" max="2" width="8.7109375" style="4" customWidth="1"/>
    <col min="3" max="3" width="24.28125" style="4" customWidth="1"/>
    <col min="4" max="4" width="17.57421875" style="4" customWidth="1"/>
    <col min="5" max="5" width="19.7109375" style="4" customWidth="1"/>
    <col min="6" max="6" width="16.8515625" style="4" customWidth="1"/>
    <col min="7" max="7" width="24.7109375" style="4" customWidth="1"/>
    <col min="8" max="9" width="22.8515625" style="4" customWidth="1"/>
    <col min="10" max="10" width="25.7109375" style="4" customWidth="1"/>
    <col min="11" max="17" width="28.28125" style="4" customWidth="1"/>
    <col min="18" max="18" width="22.28125" style="4" customWidth="1"/>
    <col min="19" max="16384" width="8.8515625" style="4" customWidth="1"/>
  </cols>
  <sheetData>
    <row r="2" ht="14.25"/>
    <row r="3" spans="4:18" ht="42" customHeight="1">
      <c r="D3" s="2" t="s">
        <v>0</v>
      </c>
      <c r="E3" s="2"/>
      <c r="F3" s="2"/>
      <c r="G3" s="2"/>
      <c r="H3" s="2"/>
      <c r="I3" s="2"/>
      <c r="J3" s="2"/>
      <c r="K3" s="2"/>
      <c r="L3" s="2"/>
      <c r="M3" s="2"/>
      <c r="N3" s="2"/>
      <c r="O3" s="2"/>
      <c r="P3" s="2"/>
      <c r="Q3" s="2"/>
      <c r="R3" s="1"/>
    </row>
    <row r="4" spans="4:5" ht="18">
      <c r="D4" s="3" t="s">
        <v>1</v>
      </c>
      <c r="E4" s="3"/>
    </row>
    <row r="5" ht="14.25"/>
    <row r="6" spans="2:18" ht="14.25">
      <c r="B6" s="5"/>
      <c r="R6" s="5"/>
    </row>
    <row r="7" spans="1:18" ht="15">
      <c r="A7" s="6"/>
      <c r="B7" s="93" t="s">
        <v>5</v>
      </c>
      <c r="C7" s="94"/>
      <c r="D7" s="94"/>
      <c r="E7" s="94"/>
      <c r="F7" s="94"/>
      <c r="G7" s="94"/>
      <c r="H7" s="94"/>
      <c r="I7" s="94"/>
      <c r="J7" s="94"/>
      <c r="K7" s="94"/>
      <c r="L7" s="94"/>
      <c r="M7" s="94"/>
      <c r="N7" s="94"/>
      <c r="O7" s="94"/>
      <c r="P7" s="94"/>
      <c r="Q7" s="94"/>
      <c r="R7" s="94"/>
    </row>
    <row r="8" spans="2:7" ht="14.25">
      <c r="B8" s="76"/>
      <c r="D8" s="95"/>
      <c r="E8" s="95"/>
      <c r="F8" s="78"/>
      <c r="G8" s="77"/>
    </row>
    <row r="9" spans="2:18" s="30" customFormat="1" ht="46.5" customHeight="1">
      <c r="B9" s="13" t="s">
        <v>56</v>
      </c>
      <c r="C9" s="13" t="s">
        <v>7</v>
      </c>
      <c r="D9" s="14" t="s">
        <v>178</v>
      </c>
      <c r="E9" s="14" t="s">
        <v>182</v>
      </c>
      <c r="F9" s="14" t="s">
        <v>180</v>
      </c>
      <c r="G9" s="14" t="s">
        <v>181</v>
      </c>
      <c r="H9" s="14" t="s">
        <v>179</v>
      </c>
      <c r="I9" s="14" t="s">
        <v>185</v>
      </c>
      <c r="J9" s="14" t="s">
        <v>186</v>
      </c>
      <c r="K9" s="14" t="s">
        <v>191</v>
      </c>
      <c r="L9" s="14" t="s">
        <v>192</v>
      </c>
      <c r="M9" s="14" t="s">
        <v>193</v>
      </c>
      <c r="N9" s="14" t="s">
        <v>194</v>
      </c>
      <c r="O9" s="14" t="s">
        <v>195</v>
      </c>
      <c r="P9" s="14" t="s">
        <v>196</v>
      </c>
      <c r="Q9" s="14" t="s">
        <v>183</v>
      </c>
      <c r="R9" s="14" t="s">
        <v>197</v>
      </c>
    </row>
    <row r="10" spans="2:18" ht="14.25">
      <c r="B10" s="4" t="s">
        <v>32</v>
      </c>
      <c r="C10" s="4" t="s">
        <v>8</v>
      </c>
      <c r="D10" s="63">
        <v>2000000</v>
      </c>
      <c r="E10" s="64">
        <v>3816</v>
      </c>
      <c r="F10" s="65">
        <f>E10/$E$34</f>
        <v>0.01182771702744923</v>
      </c>
      <c r="G10" s="66">
        <f>F10*30000000</f>
        <v>354831.5108234769</v>
      </c>
      <c r="H10" s="63">
        <v>1500000</v>
      </c>
      <c r="I10" s="63">
        <v>2000000</v>
      </c>
      <c r="J10" s="63">
        <v>1000000</v>
      </c>
      <c r="K10" s="71">
        <f aca="true" t="shared" si="0" ref="K10:K33">SUM(D10,G10)</f>
        <v>2354831.510823477</v>
      </c>
      <c r="L10" s="71">
        <f aca="true" t="shared" si="1" ref="L10:L33">K10+H10</f>
        <v>3854831.510823477</v>
      </c>
      <c r="M10" s="71">
        <f>K10+I10</f>
        <v>4354831.510823477</v>
      </c>
      <c r="N10" s="71">
        <f>K10+J10</f>
        <v>3354831.510823477</v>
      </c>
      <c r="O10" s="71">
        <f>K10+I10+J10</f>
        <v>5354831.510823477</v>
      </c>
      <c r="P10" s="71">
        <f aca="true" t="shared" si="2" ref="P10:P33">SUM(D10,G10,H10,J10,I10)</f>
        <v>6854831.510823477</v>
      </c>
      <c r="Q10" s="60">
        <f aca="true" t="shared" si="3" ref="Q10:Q33">SUM(L10+H10)</f>
        <v>5354831.510823477</v>
      </c>
      <c r="R10" s="60">
        <f aca="true" t="shared" si="4" ref="R10:R33">Q10+J10+I10</f>
        <v>8354831.510823477</v>
      </c>
    </row>
    <row r="11" spans="2:18" ht="14.25">
      <c r="B11" s="4" t="s">
        <v>33</v>
      </c>
      <c r="C11" s="4" t="s">
        <v>9</v>
      </c>
      <c r="D11" s="63">
        <v>2000000</v>
      </c>
      <c r="E11" s="64">
        <v>22181</v>
      </c>
      <c r="F11" s="65">
        <f aca="true" t="shared" si="5" ref="F11:F33">E11/$E$34</f>
        <v>0.06875015497532792</v>
      </c>
      <c r="G11" s="66">
        <f aca="true" t="shared" si="6" ref="G11:G33">F11*30000000</f>
        <v>2062504.6492598378</v>
      </c>
      <c r="H11" s="63">
        <v>1500000</v>
      </c>
      <c r="I11" s="63">
        <v>2000000</v>
      </c>
      <c r="J11" s="63">
        <v>1000000</v>
      </c>
      <c r="K11" s="71">
        <f t="shared" si="0"/>
        <v>4062504.649259838</v>
      </c>
      <c r="L11" s="71">
        <f t="shared" si="1"/>
        <v>5562504.649259837</v>
      </c>
      <c r="M11" s="71">
        <f aca="true" t="shared" si="7" ref="M11:M33">K11+I11</f>
        <v>6062504.649259837</v>
      </c>
      <c r="N11" s="71">
        <f aca="true" t="shared" si="8" ref="N11:N33">K11+J11</f>
        <v>5062504.649259837</v>
      </c>
      <c r="O11" s="71">
        <f aca="true" t="shared" si="9" ref="O11:O33">K11+I11+J11</f>
        <v>7062504.649259837</v>
      </c>
      <c r="P11" s="71">
        <f t="shared" si="2"/>
        <v>8562504.649259837</v>
      </c>
      <c r="Q11" s="60">
        <f t="shared" si="3"/>
        <v>7062504.649259837</v>
      </c>
      <c r="R11" s="60">
        <f t="shared" si="4"/>
        <v>10062504.649259837</v>
      </c>
    </row>
    <row r="12" spans="2:18" ht="14.25">
      <c r="B12" s="4" t="s">
        <v>34</v>
      </c>
      <c r="C12" s="4" t="s">
        <v>10</v>
      </c>
      <c r="D12" s="63">
        <v>2000000</v>
      </c>
      <c r="E12" s="64">
        <v>62861</v>
      </c>
      <c r="F12" s="65">
        <f t="shared" si="5"/>
        <v>0.19483808177738104</v>
      </c>
      <c r="G12" s="66">
        <f t="shared" si="6"/>
        <v>5845142.453321432</v>
      </c>
      <c r="H12" s="63">
        <v>1500000</v>
      </c>
      <c r="I12" s="63">
        <v>2000000</v>
      </c>
      <c r="J12" s="63">
        <v>1000000</v>
      </c>
      <c r="K12" s="71">
        <f t="shared" si="0"/>
        <v>7845142.453321432</v>
      </c>
      <c r="L12" s="71">
        <f t="shared" si="1"/>
        <v>9345142.45332143</v>
      </c>
      <c r="M12" s="71">
        <f t="shared" si="7"/>
        <v>9845142.45332143</v>
      </c>
      <c r="N12" s="71">
        <f t="shared" si="8"/>
        <v>8845142.45332143</v>
      </c>
      <c r="O12" s="71">
        <f t="shared" si="9"/>
        <v>10845142.45332143</v>
      </c>
      <c r="P12" s="71">
        <f t="shared" si="2"/>
        <v>12345142.45332143</v>
      </c>
      <c r="Q12" s="60">
        <f t="shared" si="3"/>
        <v>10845142.45332143</v>
      </c>
      <c r="R12" s="60">
        <f t="shared" si="4"/>
        <v>13845142.45332143</v>
      </c>
    </row>
    <row r="13" spans="2:18" ht="14.25">
      <c r="B13" s="4" t="s">
        <v>35</v>
      </c>
      <c r="C13" s="4" t="s">
        <v>11</v>
      </c>
      <c r="D13" s="63">
        <v>2000000</v>
      </c>
      <c r="E13" s="64">
        <v>42229</v>
      </c>
      <c r="F13" s="65">
        <f t="shared" si="5"/>
        <v>0.13088906246125617</v>
      </c>
      <c r="G13" s="66">
        <f t="shared" si="6"/>
        <v>3926671.873837685</v>
      </c>
      <c r="H13" s="63">
        <v>1500000</v>
      </c>
      <c r="I13" s="63">
        <v>2000000</v>
      </c>
      <c r="J13" s="63">
        <v>1000000</v>
      </c>
      <c r="K13" s="71">
        <f t="shared" si="0"/>
        <v>5926671.873837685</v>
      </c>
      <c r="L13" s="71">
        <f t="shared" si="1"/>
        <v>7426671.873837685</v>
      </c>
      <c r="M13" s="71">
        <f t="shared" si="7"/>
        <v>7926671.873837685</v>
      </c>
      <c r="N13" s="71">
        <f t="shared" si="8"/>
        <v>6926671.873837685</v>
      </c>
      <c r="O13" s="71">
        <f t="shared" si="9"/>
        <v>8926671.873837685</v>
      </c>
      <c r="P13" s="71">
        <f t="shared" si="2"/>
        <v>10426671.873837685</v>
      </c>
      <c r="Q13" s="60">
        <f t="shared" si="3"/>
        <v>8926671.873837685</v>
      </c>
      <c r="R13" s="60">
        <f t="shared" si="4"/>
        <v>11926671.873837685</v>
      </c>
    </row>
    <row r="14" spans="2:18" ht="14.25">
      <c r="B14" s="4" t="s">
        <v>36</v>
      </c>
      <c r="C14" s="4" t="s">
        <v>12</v>
      </c>
      <c r="D14" s="63">
        <v>2000000</v>
      </c>
      <c r="E14" s="64">
        <v>2776</v>
      </c>
      <c r="F14" s="65">
        <f t="shared" si="5"/>
        <v>0.008604230206551117</v>
      </c>
      <c r="G14" s="66">
        <f t="shared" si="6"/>
        <v>258126.90619653353</v>
      </c>
      <c r="H14" s="63">
        <v>1500000</v>
      </c>
      <c r="I14" s="63">
        <v>2000000</v>
      </c>
      <c r="J14" s="63">
        <v>1000000</v>
      </c>
      <c r="K14" s="71">
        <f t="shared" si="0"/>
        <v>2258126.9061965337</v>
      </c>
      <c r="L14" s="71">
        <f t="shared" si="1"/>
        <v>3758126.9061965337</v>
      </c>
      <c r="M14" s="71">
        <f t="shared" si="7"/>
        <v>4258126.906196534</v>
      </c>
      <c r="N14" s="71">
        <f t="shared" si="8"/>
        <v>3258126.9061965337</v>
      </c>
      <c r="O14" s="71">
        <f t="shared" si="9"/>
        <v>5258126.906196534</v>
      </c>
      <c r="P14" s="71">
        <f t="shared" si="2"/>
        <v>6758126.906196534</v>
      </c>
      <c r="Q14" s="60">
        <f t="shared" si="3"/>
        <v>5258126.906196534</v>
      </c>
      <c r="R14" s="60">
        <f t="shared" si="4"/>
        <v>8258126.906196534</v>
      </c>
    </row>
    <row r="15" spans="2:18" ht="14.25">
      <c r="B15" s="4" t="s">
        <v>37</v>
      </c>
      <c r="C15" s="4" t="s">
        <v>13</v>
      </c>
      <c r="D15" s="63">
        <v>2000000</v>
      </c>
      <c r="E15" s="64">
        <v>2859</v>
      </c>
      <c r="F15" s="65">
        <f t="shared" si="5"/>
        <v>0.008861489250911255</v>
      </c>
      <c r="G15" s="66">
        <f t="shared" si="6"/>
        <v>265844.6775273377</v>
      </c>
      <c r="H15" s="63">
        <v>1500000</v>
      </c>
      <c r="I15" s="63">
        <v>2000000</v>
      </c>
      <c r="J15" s="63">
        <v>1000000</v>
      </c>
      <c r="K15" s="71">
        <f t="shared" si="0"/>
        <v>2265844.677527338</v>
      </c>
      <c r="L15" s="71">
        <f t="shared" si="1"/>
        <v>3765844.677527338</v>
      </c>
      <c r="M15" s="71">
        <f t="shared" si="7"/>
        <v>4265844.677527338</v>
      </c>
      <c r="N15" s="71">
        <f t="shared" si="8"/>
        <v>3265844.677527338</v>
      </c>
      <c r="O15" s="71">
        <f t="shared" si="9"/>
        <v>5265844.677527338</v>
      </c>
      <c r="P15" s="71">
        <f t="shared" si="2"/>
        <v>6765844.677527338</v>
      </c>
      <c r="Q15" s="60">
        <f t="shared" si="3"/>
        <v>5265844.677527338</v>
      </c>
      <c r="R15" s="60">
        <f t="shared" si="4"/>
        <v>8265844.677527338</v>
      </c>
    </row>
    <row r="16" spans="2:18" ht="14.25">
      <c r="B16" s="4" t="s">
        <v>38</v>
      </c>
      <c r="C16" s="4" t="s">
        <v>14</v>
      </c>
      <c r="D16" s="63">
        <v>2000000</v>
      </c>
      <c r="E16" s="64">
        <v>3449</v>
      </c>
      <c r="F16" s="65">
        <f t="shared" si="5"/>
        <v>0.010690198120459222</v>
      </c>
      <c r="G16" s="66">
        <f t="shared" si="6"/>
        <v>320705.94361377665</v>
      </c>
      <c r="H16" s="63">
        <v>1500000</v>
      </c>
      <c r="I16" s="63">
        <v>2000000</v>
      </c>
      <c r="J16" s="63">
        <v>1000000</v>
      </c>
      <c r="K16" s="71">
        <f t="shared" si="0"/>
        <v>2320705.9436137765</v>
      </c>
      <c r="L16" s="71">
        <f t="shared" si="1"/>
        <v>3820705.9436137765</v>
      </c>
      <c r="M16" s="71">
        <f t="shared" si="7"/>
        <v>4320705.943613777</v>
      </c>
      <c r="N16" s="71">
        <f t="shared" si="8"/>
        <v>3320705.9436137765</v>
      </c>
      <c r="O16" s="71">
        <f t="shared" si="9"/>
        <v>5320705.943613777</v>
      </c>
      <c r="P16" s="71">
        <f t="shared" si="2"/>
        <v>6820705.943613777</v>
      </c>
      <c r="Q16" s="60">
        <f t="shared" si="3"/>
        <v>5320705.943613777</v>
      </c>
      <c r="R16" s="60">
        <f t="shared" si="4"/>
        <v>8320705.943613777</v>
      </c>
    </row>
    <row r="17" spans="2:18" ht="14.25">
      <c r="B17" s="4" t="s">
        <v>39</v>
      </c>
      <c r="C17" s="4" t="s">
        <v>15</v>
      </c>
      <c r="D17" s="63">
        <v>2000000</v>
      </c>
      <c r="E17" s="64">
        <v>5034</v>
      </c>
      <c r="F17" s="65">
        <f t="shared" si="5"/>
        <v>0.01560291601577029</v>
      </c>
      <c r="G17" s="66">
        <f t="shared" si="6"/>
        <v>468087.4804731087</v>
      </c>
      <c r="H17" s="63">
        <v>1500000</v>
      </c>
      <c r="I17" s="63">
        <v>2000000</v>
      </c>
      <c r="J17" s="63">
        <v>1000000</v>
      </c>
      <c r="K17" s="71">
        <f t="shared" si="0"/>
        <v>2468087.4804731086</v>
      </c>
      <c r="L17" s="71">
        <f t="shared" si="1"/>
        <v>3968087.4804731086</v>
      </c>
      <c r="M17" s="71">
        <f t="shared" si="7"/>
        <v>4468087.480473109</v>
      </c>
      <c r="N17" s="71">
        <f t="shared" si="8"/>
        <v>3468087.4804731086</v>
      </c>
      <c r="O17" s="71">
        <f t="shared" si="9"/>
        <v>5468087.480473109</v>
      </c>
      <c r="P17" s="71">
        <f t="shared" si="2"/>
        <v>6968087.480473109</v>
      </c>
      <c r="Q17" s="60">
        <f t="shared" si="3"/>
        <v>5468087.480473109</v>
      </c>
      <c r="R17" s="60">
        <f t="shared" si="4"/>
        <v>8468087.480473109</v>
      </c>
    </row>
    <row r="18" spans="2:18" ht="14.25">
      <c r="B18" s="4" t="s">
        <v>40</v>
      </c>
      <c r="C18" s="4" t="s">
        <v>16</v>
      </c>
      <c r="D18" s="63">
        <v>2000000</v>
      </c>
      <c r="E18" s="64">
        <v>9320</v>
      </c>
      <c r="F18" s="65">
        <f t="shared" si="5"/>
        <v>0.028887401125740782</v>
      </c>
      <c r="G18" s="66">
        <f t="shared" si="6"/>
        <v>866622.0337722235</v>
      </c>
      <c r="H18" s="63">
        <v>1500000</v>
      </c>
      <c r="I18" s="63">
        <v>2000000</v>
      </c>
      <c r="J18" s="63">
        <v>1000000</v>
      </c>
      <c r="K18" s="71">
        <f t="shared" si="0"/>
        <v>2866622.0337722236</v>
      </c>
      <c r="L18" s="71">
        <f t="shared" si="1"/>
        <v>4366622.033772224</v>
      </c>
      <c r="M18" s="71">
        <f t="shared" si="7"/>
        <v>4866622.033772224</v>
      </c>
      <c r="N18" s="71">
        <f t="shared" si="8"/>
        <v>3866622.0337722236</v>
      </c>
      <c r="O18" s="71">
        <f t="shared" si="9"/>
        <v>5866622.033772224</v>
      </c>
      <c r="P18" s="71">
        <f t="shared" si="2"/>
        <v>7366622.033772224</v>
      </c>
      <c r="Q18" s="60">
        <f t="shared" si="3"/>
        <v>5866622.033772224</v>
      </c>
      <c r="R18" s="60">
        <f t="shared" si="4"/>
        <v>8866622.033772223</v>
      </c>
    </row>
    <row r="19" spans="2:18" ht="14.25">
      <c r="B19" s="4" t="s">
        <v>41</v>
      </c>
      <c r="C19" s="4" t="s">
        <v>17</v>
      </c>
      <c r="D19" s="63">
        <v>2000000</v>
      </c>
      <c r="E19" s="64">
        <v>2883</v>
      </c>
      <c r="F19" s="65">
        <f t="shared" si="5"/>
        <v>0.008935877408316596</v>
      </c>
      <c r="G19" s="66">
        <f t="shared" si="6"/>
        <v>268076.32224949787</v>
      </c>
      <c r="H19" s="63">
        <v>1500000</v>
      </c>
      <c r="I19" s="63">
        <v>2000000</v>
      </c>
      <c r="J19" s="63">
        <v>1000000</v>
      </c>
      <c r="K19" s="71">
        <f t="shared" si="0"/>
        <v>2268076.3222494978</v>
      </c>
      <c r="L19" s="71">
        <f t="shared" si="1"/>
        <v>3768076.3222494978</v>
      </c>
      <c r="M19" s="71">
        <f t="shared" si="7"/>
        <v>4268076.322249498</v>
      </c>
      <c r="N19" s="71">
        <f t="shared" si="8"/>
        <v>3268076.3222494978</v>
      </c>
      <c r="O19" s="71">
        <f t="shared" si="9"/>
        <v>5268076.322249498</v>
      </c>
      <c r="P19" s="71">
        <f t="shared" si="2"/>
        <v>6768076.322249498</v>
      </c>
      <c r="Q19" s="60">
        <f t="shared" si="3"/>
        <v>5268076.322249498</v>
      </c>
      <c r="R19" s="60">
        <f t="shared" si="4"/>
        <v>8268076.322249498</v>
      </c>
    </row>
    <row r="20" spans="2:18" ht="14.25">
      <c r="B20" s="4" t="s">
        <v>42</v>
      </c>
      <c r="C20" s="4" t="s">
        <v>18</v>
      </c>
      <c r="D20" s="63">
        <v>2000000</v>
      </c>
      <c r="E20" s="64">
        <v>10664</v>
      </c>
      <c r="F20" s="65">
        <f t="shared" si="5"/>
        <v>0.03305313794043988</v>
      </c>
      <c r="G20" s="66">
        <f t="shared" si="6"/>
        <v>991594.1382131964</v>
      </c>
      <c r="H20" s="63">
        <v>1500000</v>
      </c>
      <c r="I20" s="63">
        <v>2000000</v>
      </c>
      <c r="J20" s="63">
        <v>1000000</v>
      </c>
      <c r="K20" s="71">
        <f t="shared" si="0"/>
        <v>2991594.1382131963</v>
      </c>
      <c r="L20" s="71">
        <f t="shared" si="1"/>
        <v>4491594.138213197</v>
      </c>
      <c r="M20" s="71">
        <f t="shared" si="7"/>
        <v>4991594.138213197</v>
      </c>
      <c r="N20" s="71">
        <f t="shared" si="8"/>
        <v>3991594.1382131963</v>
      </c>
      <c r="O20" s="71">
        <f t="shared" si="9"/>
        <v>5991594.138213197</v>
      </c>
      <c r="P20" s="71">
        <f t="shared" si="2"/>
        <v>7491594.138213197</v>
      </c>
      <c r="Q20" s="60">
        <f t="shared" si="3"/>
        <v>5991594.138213197</v>
      </c>
      <c r="R20" s="60">
        <f t="shared" si="4"/>
        <v>8991594.138213197</v>
      </c>
    </row>
    <row r="21" spans="2:18" ht="14.25">
      <c r="B21" s="4" t="s">
        <v>43</v>
      </c>
      <c r="C21" s="4" t="s">
        <v>19</v>
      </c>
      <c r="D21" s="63">
        <v>2000000</v>
      </c>
      <c r="E21" s="64">
        <v>1459</v>
      </c>
      <c r="F21" s="65">
        <f t="shared" si="5"/>
        <v>0.004522180068933026</v>
      </c>
      <c r="G21" s="66">
        <f t="shared" si="6"/>
        <v>135665.40206799077</v>
      </c>
      <c r="H21" s="63">
        <v>1500000</v>
      </c>
      <c r="I21" s="63">
        <v>2000000</v>
      </c>
      <c r="J21" s="63">
        <v>1000000</v>
      </c>
      <c r="K21" s="71">
        <f t="shared" si="0"/>
        <v>2135665.402067991</v>
      </c>
      <c r="L21" s="71">
        <f t="shared" si="1"/>
        <v>3635665.402067991</v>
      </c>
      <c r="M21" s="71">
        <f t="shared" si="7"/>
        <v>4135665.402067991</v>
      </c>
      <c r="N21" s="71">
        <f t="shared" si="8"/>
        <v>3135665.402067991</v>
      </c>
      <c r="O21" s="71">
        <f t="shared" si="9"/>
        <v>5135665.402067991</v>
      </c>
      <c r="P21" s="71">
        <f t="shared" si="2"/>
        <v>6635665.402067991</v>
      </c>
      <c r="Q21" s="60">
        <f t="shared" si="3"/>
        <v>5135665.402067991</v>
      </c>
      <c r="R21" s="60">
        <f t="shared" si="4"/>
        <v>8135665.402067991</v>
      </c>
    </row>
    <row r="22" spans="2:18" ht="14.25">
      <c r="B22" s="4" t="s">
        <v>44</v>
      </c>
      <c r="C22" s="4" t="s">
        <v>20</v>
      </c>
      <c r="D22" s="63">
        <v>2000000</v>
      </c>
      <c r="E22" s="64">
        <v>9778</v>
      </c>
      <c r="F22" s="65">
        <f t="shared" si="5"/>
        <v>0.030306975129559374</v>
      </c>
      <c r="G22" s="66">
        <f t="shared" si="6"/>
        <v>909209.2538867812</v>
      </c>
      <c r="H22" s="63">
        <v>1500000</v>
      </c>
      <c r="I22" s="63">
        <v>2000000</v>
      </c>
      <c r="J22" s="63">
        <v>1000000</v>
      </c>
      <c r="K22" s="71">
        <f t="shared" si="0"/>
        <v>2909209.253886781</v>
      </c>
      <c r="L22" s="71">
        <f t="shared" si="1"/>
        <v>4409209.253886782</v>
      </c>
      <c r="M22" s="71">
        <f t="shared" si="7"/>
        <v>4909209.253886782</v>
      </c>
      <c r="N22" s="71">
        <f t="shared" si="8"/>
        <v>3909209.253886781</v>
      </c>
      <c r="O22" s="71">
        <f t="shared" si="9"/>
        <v>5909209.253886782</v>
      </c>
      <c r="P22" s="71">
        <f t="shared" si="2"/>
        <v>7409209.253886782</v>
      </c>
      <c r="Q22" s="60">
        <f t="shared" si="3"/>
        <v>5909209.253886782</v>
      </c>
      <c r="R22" s="60">
        <f t="shared" si="4"/>
        <v>8909209.253886782</v>
      </c>
    </row>
    <row r="23" spans="2:18" ht="14.25">
      <c r="B23" s="4" t="s">
        <v>45</v>
      </c>
      <c r="C23" s="4" t="s">
        <v>21</v>
      </c>
      <c r="D23" s="63">
        <v>2000000</v>
      </c>
      <c r="E23" s="64">
        <v>12219</v>
      </c>
      <c r="F23" s="65">
        <f t="shared" si="5"/>
        <v>0.03787287063899427</v>
      </c>
      <c r="G23" s="66">
        <f t="shared" si="6"/>
        <v>1136186.119169828</v>
      </c>
      <c r="H23" s="63">
        <v>1500000</v>
      </c>
      <c r="I23" s="63">
        <v>2000000</v>
      </c>
      <c r="J23" s="63">
        <v>1000000</v>
      </c>
      <c r="K23" s="71">
        <f t="shared" si="0"/>
        <v>3136186.119169828</v>
      </c>
      <c r="L23" s="71">
        <f t="shared" si="1"/>
        <v>4636186.119169828</v>
      </c>
      <c r="M23" s="71">
        <f t="shared" si="7"/>
        <v>5136186.119169828</v>
      </c>
      <c r="N23" s="71">
        <f t="shared" si="8"/>
        <v>4136186.119169828</v>
      </c>
      <c r="O23" s="71">
        <f t="shared" si="9"/>
        <v>6136186.119169828</v>
      </c>
      <c r="P23" s="71">
        <f t="shared" si="2"/>
        <v>7636186.119169828</v>
      </c>
      <c r="Q23" s="60">
        <f t="shared" si="3"/>
        <v>6136186.119169828</v>
      </c>
      <c r="R23" s="60">
        <f t="shared" si="4"/>
        <v>9136186.119169828</v>
      </c>
    </row>
    <row r="24" spans="2:18" ht="14.25">
      <c r="B24" s="4" t="s">
        <v>46</v>
      </c>
      <c r="C24" s="4" t="s">
        <v>22</v>
      </c>
      <c r="D24" s="63">
        <v>2000000</v>
      </c>
      <c r="E24" s="64">
        <v>763</v>
      </c>
      <c r="F24" s="65">
        <f t="shared" si="5"/>
        <v>0.0023649235041781347</v>
      </c>
      <c r="G24" s="66">
        <f t="shared" si="6"/>
        <v>70947.70512534404</v>
      </c>
      <c r="H24" s="63">
        <v>1500000</v>
      </c>
      <c r="I24" s="63">
        <v>2000000</v>
      </c>
      <c r="J24" s="63">
        <v>1000000</v>
      </c>
      <c r="K24" s="71">
        <f t="shared" si="0"/>
        <v>2070947.705125344</v>
      </c>
      <c r="L24" s="71">
        <f t="shared" si="1"/>
        <v>3570947.705125344</v>
      </c>
      <c r="M24" s="71">
        <f t="shared" si="7"/>
        <v>4070947.705125344</v>
      </c>
      <c r="N24" s="71">
        <f t="shared" si="8"/>
        <v>3070947.705125344</v>
      </c>
      <c r="O24" s="71">
        <f t="shared" si="9"/>
        <v>5070947.705125344</v>
      </c>
      <c r="P24" s="71">
        <f t="shared" si="2"/>
        <v>6570947.705125344</v>
      </c>
      <c r="Q24" s="60">
        <f t="shared" si="3"/>
        <v>5070947.705125344</v>
      </c>
      <c r="R24" s="60">
        <f t="shared" si="4"/>
        <v>8070947.705125344</v>
      </c>
    </row>
    <row r="25" spans="2:18" ht="14.25">
      <c r="B25" s="4" t="s">
        <v>47</v>
      </c>
      <c r="C25" s="4" t="s">
        <v>23</v>
      </c>
      <c r="D25" s="63">
        <v>2000000</v>
      </c>
      <c r="E25" s="64">
        <v>39050</v>
      </c>
      <c r="F25" s="65">
        <f t="shared" si="5"/>
        <v>0.12103573111160704</v>
      </c>
      <c r="G25" s="66">
        <f t="shared" si="6"/>
        <v>3631071.933348211</v>
      </c>
      <c r="H25" s="63">
        <v>1500000</v>
      </c>
      <c r="I25" s="63">
        <v>2000000</v>
      </c>
      <c r="J25" s="63">
        <v>1000000</v>
      </c>
      <c r="K25" s="71">
        <f t="shared" si="0"/>
        <v>5631071.9333482105</v>
      </c>
      <c r="L25" s="71">
        <f t="shared" si="1"/>
        <v>7131071.9333482105</v>
      </c>
      <c r="M25" s="71">
        <f t="shared" si="7"/>
        <v>7631071.9333482105</v>
      </c>
      <c r="N25" s="71">
        <f t="shared" si="8"/>
        <v>6631071.9333482105</v>
      </c>
      <c r="O25" s="71">
        <f t="shared" si="9"/>
        <v>8631071.93334821</v>
      </c>
      <c r="P25" s="71">
        <f t="shared" si="2"/>
        <v>10131071.93334821</v>
      </c>
      <c r="Q25" s="60">
        <f t="shared" si="3"/>
        <v>8631071.93334821</v>
      </c>
      <c r="R25" s="60">
        <f t="shared" si="4"/>
        <v>11631071.93334821</v>
      </c>
    </row>
    <row r="26" spans="2:18" ht="14.25">
      <c r="B26" s="4" t="s">
        <v>48</v>
      </c>
      <c r="C26" s="4" t="s">
        <v>24</v>
      </c>
      <c r="D26" s="63">
        <v>2000000</v>
      </c>
      <c r="E26" s="64">
        <v>62038</v>
      </c>
      <c r="F26" s="65">
        <f t="shared" si="5"/>
        <v>0.19228718787968954</v>
      </c>
      <c r="G26" s="66">
        <f t="shared" si="6"/>
        <v>5768615.636390686</v>
      </c>
      <c r="H26" s="63">
        <v>1500000</v>
      </c>
      <c r="I26" s="63">
        <v>2000000</v>
      </c>
      <c r="J26" s="63">
        <v>1000000</v>
      </c>
      <c r="K26" s="71">
        <f t="shared" si="0"/>
        <v>7768615.636390686</v>
      </c>
      <c r="L26" s="71">
        <f t="shared" si="1"/>
        <v>9268615.636390686</v>
      </c>
      <c r="M26" s="71">
        <f t="shared" si="7"/>
        <v>9768615.636390686</v>
      </c>
      <c r="N26" s="71">
        <f t="shared" si="8"/>
        <v>8768615.636390686</v>
      </c>
      <c r="O26" s="71">
        <f t="shared" si="9"/>
        <v>10768615.636390686</v>
      </c>
      <c r="P26" s="71">
        <f t="shared" si="2"/>
        <v>12268615.636390686</v>
      </c>
      <c r="Q26" s="60">
        <f t="shared" si="3"/>
        <v>10768615.636390686</v>
      </c>
      <c r="R26" s="60">
        <f t="shared" si="4"/>
        <v>13768615.636390686</v>
      </c>
    </row>
    <row r="27" spans="2:18" ht="14.25">
      <c r="B27" s="4" t="s">
        <v>49</v>
      </c>
      <c r="C27" s="4" t="s">
        <v>25</v>
      </c>
      <c r="D27" s="63">
        <v>2000000</v>
      </c>
      <c r="E27" s="64">
        <v>1409</v>
      </c>
      <c r="F27" s="65">
        <f t="shared" si="5"/>
        <v>0.004367204741005232</v>
      </c>
      <c r="G27" s="66">
        <f t="shared" si="6"/>
        <v>131016.14223015697</v>
      </c>
      <c r="H27" s="63">
        <v>1500000</v>
      </c>
      <c r="I27" s="63">
        <v>2000000</v>
      </c>
      <c r="J27" s="63">
        <v>1000000</v>
      </c>
      <c r="K27" s="71">
        <f t="shared" si="0"/>
        <v>2131016.142230157</v>
      </c>
      <c r="L27" s="71">
        <f t="shared" si="1"/>
        <v>3631016.142230157</v>
      </c>
      <c r="M27" s="71">
        <f t="shared" si="7"/>
        <v>4131016.142230157</v>
      </c>
      <c r="N27" s="71">
        <f t="shared" si="8"/>
        <v>3131016.142230157</v>
      </c>
      <c r="O27" s="71">
        <f t="shared" si="9"/>
        <v>5131016.142230157</v>
      </c>
      <c r="P27" s="71">
        <f t="shared" si="2"/>
        <v>6631016.142230157</v>
      </c>
      <c r="Q27" s="60">
        <f t="shared" si="3"/>
        <v>5131016.142230157</v>
      </c>
      <c r="R27" s="60">
        <f t="shared" si="4"/>
        <v>8131016.142230157</v>
      </c>
    </row>
    <row r="28" spans="2:18" ht="14.25">
      <c r="B28" s="4" t="s">
        <v>50</v>
      </c>
      <c r="C28" s="4" t="s">
        <v>26</v>
      </c>
      <c r="D28" s="63">
        <v>2000000</v>
      </c>
      <c r="E28" s="64">
        <v>3856</v>
      </c>
      <c r="F28" s="65">
        <f t="shared" si="5"/>
        <v>0.011951697289791466</v>
      </c>
      <c r="G28" s="66">
        <f t="shared" si="6"/>
        <v>358550.918693744</v>
      </c>
      <c r="H28" s="63">
        <v>1500000</v>
      </c>
      <c r="I28" s="63">
        <v>2000000</v>
      </c>
      <c r="J28" s="63">
        <v>1000000</v>
      </c>
      <c r="K28" s="71">
        <f t="shared" si="0"/>
        <v>2358550.918693744</v>
      </c>
      <c r="L28" s="71">
        <f t="shared" si="1"/>
        <v>3858550.918693744</v>
      </c>
      <c r="M28" s="71">
        <f t="shared" si="7"/>
        <v>4358550.918693744</v>
      </c>
      <c r="N28" s="71">
        <f t="shared" si="8"/>
        <v>3358550.918693744</v>
      </c>
      <c r="O28" s="71">
        <f t="shared" si="9"/>
        <v>5358550.918693744</v>
      </c>
      <c r="P28" s="71">
        <f t="shared" si="2"/>
        <v>6858550.918693744</v>
      </c>
      <c r="Q28" s="60">
        <f t="shared" si="3"/>
        <v>5358550.918693744</v>
      </c>
      <c r="R28" s="60">
        <f t="shared" si="4"/>
        <v>8358550.918693744</v>
      </c>
    </row>
    <row r="29" spans="2:18" ht="14.25">
      <c r="B29" s="4" t="s">
        <v>51</v>
      </c>
      <c r="C29" s="4" t="s">
        <v>27</v>
      </c>
      <c r="D29" s="63">
        <v>2000000</v>
      </c>
      <c r="E29" s="64">
        <v>1857</v>
      </c>
      <c r="F29" s="65">
        <f t="shared" si="5"/>
        <v>0.005755783679238265</v>
      </c>
      <c r="G29" s="66">
        <f t="shared" si="6"/>
        <v>172673.51037714796</v>
      </c>
      <c r="H29" s="63">
        <v>1500000</v>
      </c>
      <c r="I29" s="63">
        <v>2000000</v>
      </c>
      <c r="J29" s="63">
        <v>1000000</v>
      </c>
      <c r="K29" s="71">
        <f t="shared" si="0"/>
        <v>2172673.510377148</v>
      </c>
      <c r="L29" s="71">
        <f t="shared" si="1"/>
        <v>3672673.510377148</v>
      </c>
      <c r="M29" s="71">
        <f t="shared" si="7"/>
        <v>4172673.510377148</v>
      </c>
      <c r="N29" s="71">
        <f t="shared" si="8"/>
        <v>3172673.510377148</v>
      </c>
      <c r="O29" s="71">
        <f t="shared" si="9"/>
        <v>5172673.510377148</v>
      </c>
      <c r="P29" s="71">
        <f t="shared" si="2"/>
        <v>6672673.510377148</v>
      </c>
      <c r="Q29" s="60">
        <f t="shared" si="3"/>
        <v>5172673.510377148</v>
      </c>
      <c r="R29" s="60">
        <f t="shared" si="4"/>
        <v>8172673.510377148</v>
      </c>
    </row>
    <row r="30" spans="2:18" ht="14.25">
      <c r="B30" s="4" t="s">
        <v>52</v>
      </c>
      <c r="C30" s="4" t="s">
        <v>28</v>
      </c>
      <c r="D30" s="63">
        <v>2000000</v>
      </c>
      <c r="E30" s="64">
        <v>1930</v>
      </c>
      <c r="F30" s="65">
        <f t="shared" si="5"/>
        <v>0.005982047658012845</v>
      </c>
      <c r="G30" s="66">
        <f t="shared" si="6"/>
        <v>179461.42974038533</v>
      </c>
      <c r="H30" s="63">
        <v>1500000</v>
      </c>
      <c r="I30" s="63">
        <v>2000000</v>
      </c>
      <c r="J30" s="63">
        <v>1000000</v>
      </c>
      <c r="K30" s="71">
        <f t="shared" si="0"/>
        <v>2179461.429740385</v>
      </c>
      <c r="L30" s="71">
        <f t="shared" si="1"/>
        <v>3679461.429740385</v>
      </c>
      <c r="M30" s="71">
        <f t="shared" si="7"/>
        <v>4179461.429740385</v>
      </c>
      <c r="N30" s="71">
        <f t="shared" si="8"/>
        <v>3179461.429740385</v>
      </c>
      <c r="O30" s="71">
        <f t="shared" si="9"/>
        <v>5179461.429740385</v>
      </c>
      <c r="P30" s="71">
        <f t="shared" si="2"/>
        <v>6679461.429740385</v>
      </c>
      <c r="Q30" s="60">
        <f t="shared" si="3"/>
        <v>5179461.429740385</v>
      </c>
      <c r="R30" s="60">
        <f t="shared" si="4"/>
        <v>8179461.429740385</v>
      </c>
    </row>
    <row r="31" spans="2:18" ht="14.25">
      <c r="B31" s="4" t="s">
        <v>53</v>
      </c>
      <c r="C31" s="4" t="s">
        <v>29</v>
      </c>
      <c r="D31" s="63">
        <v>2000000</v>
      </c>
      <c r="E31" s="64">
        <v>9651</v>
      </c>
      <c r="F31" s="65">
        <f t="shared" si="5"/>
        <v>0.029913337796622776</v>
      </c>
      <c r="G31" s="66">
        <f t="shared" si="6"/>
        <v>897400.1338986832</v>
      </c>
      <c r="H31" s="63">
        <v>1500000</v>
      </c>
      <c r="I31" s="63">
        <v>2000000</v>
      </c>
      <c r="J31" s="63">
        <v>1000000</v>
      </c>
      <c r="K31" s="71">
        <f t="shared" si="0"/>
        <v>2897400.1338986834</v>
      </c>
      <c r="L31" s="71">
        <f t="shared" si="1"/>
        <v>4397400.133898683</v>
      </c>
      <c r="M31" s="71">
        <f t="shared" si="7"/>
        <v>4897400.133898683</v>
      </c>
      <c r="N31" s="71">
        <f t="shared" si="8"/>
        <v>3897400.1338986834</v>
      </c>
      <c r="O31" s="71">
        <f t="shared" si="9"/>
        <v>5897400.133898683</v>
      </c>
      <c r="P31" s="71">
        <f t="shared" si="2"/>
        <v>7397400.133898683</v>
      </c>
      <c r="Q31" s="60">
        <f t="shared" si="3"/>
        <v>5897400.133898683</v>
      </c>
      <c r="R31" s="60">
        <f t="shared" si="4"/>
        <v>8897400.133898683</v>
      </c>
    </row>
    <row r="32" spans="2:18" ht="14.25">
      <c r="B32" s="4" t="s">
        <v>54</v>
      </c>
      <c r="C32" s="4" t="s">
        <v>30</v>
      </c>
      <c r="D32" s="63">
        <v>2000000</v>
      </c>
      <c r="E32" s="64">
        <v>7848</v>
      </c>
      <c r="F32" s="65">
        <f t="shared" si="5"/>
        <v>0.02432492747154653</v>
      </c>
      <c r="G32" s="66">
        <f t="shared" si="6"/>
        <v>729747.8241463959</v>
      </c>
      <c r="H32" s="63">
        <v>1500000</v>
      </c>
      <c r="I32" s="63">
        <v>2000000</v>
      </c>
      <c r="J32" s="63">
        <v>1000000</v>
      </c>
      <c r="K32" s="71">
        <f t="shared" si="0"/>
        <v>2729747.824146396</v>
      </c>
      <c r="L32" s="71">
        <f t="shared" si="1"/>
        <v>4229747.824146396</v>
      </c>
      <c r="M32" s="71">
        <f t="shared" si="7"/>
        <v>4729747.824146396</v>
      </c>
      <c r="N32" s="71">
        <f t="shared" si="8"/>
        <v>3729747.824146396</v>
      </c>
      <c r="O32" s="71">
        <f t="shared" si="9"/>
        <v>5729747.824146396</v>
      </c>
      <c r="P32" s="71">
        <f t="shared" si="2"/>
        <v>7229747.824146396</v>
      </c>
      <c r="Q32" s="60">
        <f t="shared" si="3"/>
        <v>5729747.824146396</v>
      </c>
      <c r="R32" s="60">
        <f t="shared" si="4"/>
        <v>8729747.824146396</v>
      </c>
    </row>
    <row r="33" spans="2:18" ht="14.25">
      <c r="B33" s="4" t="s">
        <v>55</v>
      </c>
      <c r="C33" s="8" t="s">
        <v>31</v>
      </c>
      <c r="D33" s="67">
        <v>2000000</v>
      </c>
      <c r="E33" s="68">
        <v>2702</v>
      </c>
      <c r="F33" s="69">
        <f t="shared" si="5"/>
        <v>0.008374866721217983</v>
      </c>
      <c r="G33" s="70">
        <f t="shared" si="6"/>
        <v>251246.0016365395</v>
      </c>
      <c r="H33" s="67">
        <v>1500000</v>
      </c>
      <c r="I33" s="67">
        <v>2000000</v>
      </c>
      <c r="J33" s="67">
        <v>1000000</v>
      </c>
      <c r="K33" s="72">
        <f t="shared" si="0"/>
        <v>2251246.0016365396</v>
      </c>
      <c r="L33" s="72">
        <f t="shared" si="1"/>
        <v>3751246.0016365396</v>
      </c>
      <c r="M33" s="72">
        <f t="shared" si="7"/>
        <v>4251246.00163654</v>
      </c>
      <c r="N33" s="72">
        <f t="shared" si="8"/>
        <v>3251246.0016365396</v>
      </c>
      <c r="O33" s="72">
        <f t="shared" si="9"/>
        <v>5251246.00163654</v>
      </c>
      <c r="P33" s="72">
        <f t="shared" si="2"/>
        <v>6751246.00163654</v>
      </c>
      <c r="Q33" s="61">
        <f t="shared" si="3"/>
        <v>5251246.00163654</v>
      </c>
      <c r="R33" s="61">
        <f t="shared" si="4"/>
        <v>8251246.00163654</v>
      </c>
    </row>
    <row r="34" spans="3:18" ht="14.25">
      <c r="C34" s="22" t="s">
        <v>3</v>
      </c>
      <c r="D34" s="73">
        <f>SUM(D10:D33)</f>
        <v>48000000</v>
      </c>
      <c r="E34" s="74">
        <f>SUM(E10:E33)</f>
        <v>322632</v>
      </c>
      <c r="F34" s="75">
        <f aca="true" t="shared" si="10" ref="F34:P34">SUM(F10:F33)</f>
        <v>1</v>
      </c>
      <c r="G34" s="73">
        <f t="shared" si="10"/>
        <v>30000000</v>
      </c>
      <c r="H34" s="73">
        <f>SUM(H10:H33)</f>
        <v>36000000</v>
      </c>
      <c r="I34" s="73">
        <f>SUM(I10:I33)</f>
        <v>48000000</v>
      </c>
      <c r="J34" s="73">
        <f>SUM(J10:J33)</f>
        <v>24000000</v>
      </c>
      <c r="K34" s="73">
        <f t="shared" si="10"/>
        <v>77999999.99999999</v>
      </c>
      <c r="L34" s="73">
        <f t="shared" si="10"/>
        <v>114000000</v>
      </c>
      <c r="M34" s="73">
        <f t="shared" si="10"/>
        <v>125999999.99999997</v>
      </c>
      <c r="N34" s="73">
        <f t="shared" si="10"/>
        <v>102000000</v>
      </c>
      <c r="O34" s="73">
        <f t="shared" si="10"/>
        <v>149999999.99999997</v>
      </c>
      <c r="P34" s="73">
        <f t="shared" si="10"/>
        <v>186000000</v>
      </c>
      <c r="Q34" s="73">
        <f>SUM(Q10:Q33)</f>
        <v>149999999.99999997</v>
      </c>
      <c r="R34" s="73">
        <f>SUM(R10:R33)</f>
        <v>222000000</v>
      </c>
    </row>
  </sheetData>
  <sheetProtection sheet="1" objects="1" scenarios="1" selectLockedCells="1"/>
  <mergeCells count="2">
    <mergeCell ref="B7:R7"/>
    <mergeCell ref="D8:E8"/>
  </mergeCells>
  <printOptions/>
  <pageMargins left="0.7" right="0.7" top="0.75" bottom="0.75" header="0.3" footer="0.3"/>
  <pageSetup fitToHeight="1" fitToWidth="1" horizontalDpi="1200" verticalDpi="1200" orientation="landscape" scale="37" r:id="rId2"/>
  <drawing r:id="rId1"/>
</worksheet>
</file>

<file path=xl/worksheets/sheet3.xml><?xml version="1.0" encoding="utf-8"?>
<worksheet xmlns="http://schemas.openxmlformats.org/spreadsheetml/2006/main" xmlns:r="http://schemas.openxmlformats.org/officeDocument/2006/relationships">
  <sheetPr>
    <tabColor rgb="FF2A74A8"/>
  </sheetPr>
  <dimension ref="A3:E32"/>
  <sheetViews>
    <sheetView zoomScale="90" zoomScaleNormal="90" zoomScalePageLayoutView="0" workbookViewId="0" topLeftCell="A7">
      <selection activeCell="C14" sqref="C14"/>
    </sheetView>
  </sheetViews>
  <sheetFormatPr defaultColWidth="8.8515625" defaultRowHeight="15"/>
  <cols>
    <col min="1" max="1" width="8.8515625" style="4" customWidth="1"/>
    <col min="2" max="2" width="48.140625" style="4" customWidth="1"/>
    <col min="3" max="3" width="30.421875" style="4" customWidth="1"/>
    <col min="4" max="4" width="29.7109375" style="4" customWidth="1"/>
    <col min="5" max="16384" width="8.8515625" style="4" customWidth="1"/>
  </cols>
  <sheetData>
    <row r="2" ht="14.25"/>
    <row r="3" ht="14.25" customHeight="1">
      <c r="C3" s="1"/>
    </row>
    <row r="4" ht="31.5" customHeight="1">
      <c r="B4" s="18" t="s">
        <v>0</v>
      </c>
    </row>
    <row r="5" ht="18">
      <c r="B5" s="17" t="s">
        <v>1</v>
      </c>
    </row>
    <row r="6" ht="14.25"/>
    <row r="7" spans="2:4" ht="14.25">
      <c r="B7" s="5"/>
      <c r="D7" s="5"/>
    </row>
    <row r="8" spans="1:5" ht="14.25">
      <c r="A8" s="6"/>
      <c r="B8" s="97" t="s">
        <v>67</v>
      </c>
      <c r="C8" s="98"/>
      <c r="D8" s="98"/>
      <c r="E8" s="98"/>
    </row>
    <row r="9" spans="2:4" ht="14.25">
      <c r="B9" s="5"/>
      <c r="D9" s="7"/>
    </row>
    <row r="10" spans="2:5" ht="156" customHeight="1">
      <c r="B10" s="96" t="s">
        <v>207</v>
      </c>
      <c r="C10" s="96"/>
      <c r="D10" s="96"/>
      <c r="E10" s="96"/>
    </row>
    <row r="11" ht="14.25">
      <c r="B11" s="5"/>
    </row>
    <row r="12" spans="2:5" ht="14.25">
      <c r="B12" s="97" t="s">
        <v>66</v>
      </c>
      <c r="C12" s="98"/>
      <c r="D12" s="98"/>
      <c r="E12" s="98"/>
    </row>
    <row r="13" ht="14.25">
      <c r="B13" s="5"/>
    </row>
    <row r="14" spans="2:3" ht="14.25">
      <c r="B14" s="26" t="s">
        <v>73</v>
      </c>
      <c r="C14" s="82"/>
    </row>
    <row r="15" spans="2:4" ht="14.25">
      <c r="B15" s="26" t="s">
        <v>198</v>
      </c>
      <c r="C15" s="82" t="s">
        <v>85</v>
      </c>
      <c r="D15" s="79">
        <f>IF(C15="Yes",C16*2,0)</f>
        <v>0</v>
      </c>
    </row>
    <row r="16" spans="2:4" ht="14.25">
      <c r="B16" s="26" t="s">
        <v>201</v>
      </c>
      <c r="C16" s="82"/>
      <c r="D16" s="80"/>
    </row>
    <row r="17" spans="2:4" ht="14.25">
      <c r="B17" s="26" t="s">
        <v>199</v>
      </c>
      <c r="C17" s="82" t="s">
        <v>85</v>
      </c>
      <c r="D17" s="79">
        <f>IF(C17="Yes",2000000,0)</f>
        <v>0</v>
      </c>
    </row>
    <row r="18" spans="2:4" ht="14.25">
      <c r="B18" s="26" t="s">
        <v>200</v>
      </c>
      <c r="C18" s="82" t="s">
        <v>85</v>
      </c>
      <c r="D18" s="79">
        <f>IF(C18="Yes",1000000,0)</f>
        <v>0</v>
      </c>
    </row>
    <row r="19" spans="2:3" ht="14.25">
      <c r="B19" s="26" t="s">
        <v>68</v>
      </c>
      <c r="C19" s="10" t="e">
        <f>(INDEX('LEA Funding Formula Calculation'!K:K,MATCH(C14,'LEA Funding Formula Calculation'!C:C,0)))+D18+D17+D15</f>
        <v>#N/A</v>
      </c>
    </row>
    <row r="20" spans="2:3" ht="14.25">
      <c r="B20" s="26" t="s">
        <v>70</v>
      </c>
      <c r="C20" s="33">
        <f>C32</f>
        <v>0</v>
      </c>
    </row>
    <row r="21" spans="2:3" ht="14.25">
      <c r="B21" s="26" t="s">
        <v>71</v>
      </c>
      <c r="C21" s="11" t="e">
        <f>C19-C20</f>
        <v>#N/A</v>
      </c>
    </row>
    <row r="22" spans="2:3" ht="14.25">
      <c r="B22" s="26" t="s">
        <v>72</v>
      </c>
      <c r="C22" s="4" t="str">
        <f>IF(C14="","Please Select an LEA",IF(C21&gt;0,"You have more funds available",IF(C21&lt;0,"You overspent your grant award","Your award budget is balanced")))</f>
        <v>Please Select an LEA</v>
      </c>
    </row>
    <row r="23" spans="2:4" ht="14.25">
      <c r="B23" s="26"/>
      <c r="D23" s="7"/>
    </row>
    <row r="24" spans="2:4" ht="14.25">
      <c r="B24" s="9" t="s">
        <v>58</v>
      </c>
      <c r="C24" s="9" t="s">
        <v>69</v>
      </c>
      <c r="D24" s="9" t="s">
        <v>59</v>
      </c>
    </row>
    <row r="25" spans="2:5" ht="14.25" customHeight="1">
      <c r="B25" s="19" t="s">
        <v>4</v>
      </c>
      <c r="C25" s="39">
        <f>'Program Budget Detail'!F31</f>
        <v>0</v>
      </c>
      <c r="D25" s="27">
        <f>IF(C25=0,0,C25/$C$32)</f>
        <v>0</v>
      </c>
      <c r="E25" s="16"/>
    </row>
    <row r="26" spans="2:4" ht="14.25">
      <c r="B26" s="20" t="s">
        <v>60</v>
      </c>
      <c r="C26" s="31">
        <f>'Program Budget Detail'!F49</f>
        <v>0</v>
      </c>
      <c r="D26" s="25">
        <f>IF(C26=0,0,C26/$C$32)</f>
        <v>0</v>
      </c>
    </row>
    <row r="27" spans="2:4" ht="14.25">
      <c r="B27" s="20" t="s">
        <v>61</v>
      </c>
      <c r="C27" s="31">
        <f>'Program Budget Detail'!F62</f>
        <v>0</v>
      </c>
      <c r="D27" s="25">
        <f>IF(C27=0,0,C27/$C$32)</f>
        <v>0</v>
      </c>
    </row>
    <row r="28" spans="2:4" ht="14.25">
      <c r="B28" s="20" t="s">
        <v>62</v>
      </c>
      <c r="C28" s="31">
        <f>'Program Budget Detail'!F74</f>
        <v>0</v>
      </c>
      <c r="D28" s="25">
        <f>IF(C28=0,0,C28/$C$32)</f>
        <v>0</v>
      </c>
    </row>
    <row r="29" spans="2:4" ht="14.25">
      <c r="B29" s="20" t="s">
        <v>63</v>
      </c>
      <c r="C29" s="31">
        <f>'Program Budget Detail'!F91</f>
        <v>0</v>
      </c>
      <c r="D29" s="25">
        <f>IF(C29=0,0,C29/$C$32)</f>
        <v>0</v>
      </c>
    </row>
    <row r="30" spans="2:4" ht="14.25">
      <c r="B30" s="20" t="s">
        <v>64</v>
      </c>
      <c r="C30" s="31">
        <f>'Program Budget Detail'!F102</f>
        <v>0</v>
      </c>
      <c r="D30" s="25">
        <f>IF(C30=0,0,C30/$C$32)</f>
        <v>0</v>
      </c>
    </row>
    <row r="31" spans="2:4" ht="28.5">
      <c r="B31" s="21" t="s">
        <v>65</v>
      </c>
      <c r="C31" s="40">
        <f>'Program Budget Detail'!F113</f>
        <v>0</v>
      </c>
      <c r="D31" s="28">
        <f>IF(C31=0,0,C31/$C$32)</f>
        <v>0</v>
      </c>
    </row>
    <row r="32" spans="2:4" ht="14.25">
      <c r="B32" s="23" t="s">
        <v>3</v>
      </c>
      <c r="C32" s="52">
        <f>SUM(C25:C31)</f>
        <v>0</v>
      </c>
      <c r="D32" s="53">
        <f>SUM(D25:D31)</f>
        <v>0</v>
      </c>
    </row>
  </sheetData>
  <sheetProtection password="EC98" sheet="1" objects="1" scenarios="1" selectLockedCells="1"/>
  <mergeCells count="3">
    <mergeCell ref="B10:E10"/>
    <mergeCell ref="B8:E8"/>
    <mergeCell ref="B12:E12"/>
  </mergeCells>
  <conditionalFormatting sqref="C22">
    <cfRule type="containsText" priority="1" dxfId="2" operator="containsText" text="Please Select an LEA">
      <formula>NOT(ISERROR(SEARCH("Please Select an LEA",C22)))</formula>
    </cfRule>
    <cfRule type="containsText" priority="2" dxfId="2" operator="containsText" text="You have more funds available">
      <formula>NOT(ISERROR(SEARCH("You have more funds available",C22)))</formula>
    </cfRule>
    <cfRule type="containsText" priority="3" dxfId="8" operator="containsText" text="You overspent your grant award">
      <formula>NOT(ISERROR(SEARCH("You overspent your grant award",C22)))</formula>
    </cfRule>
    <cfRule type="containsText" priority="4" dxfId="9" operator="containsText" text="Your award budget is balanced">
      <formula>NOT(ISERROR(SEARCH("Your award budget is balanced",C22)))</formula>
    </cfRule>
  </conditionalFormatting>
  <dataValidations count="2">
    <dataValidation type="list" allowBlank="1" showInputMessage="1" showErrorMessage="1" sqref="C14">
      <formula1>LEA_Name</formula1>
    </dataValidation>
    <dataValidation type="list" allowBlank="1" showInputMessage="1" showErrorMessage="1" sqref="C15 C17:C18">
      <formula1>YesNo</formula1>
    </dataValidation>
  </dataValidations>
  <printOptions/>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sheetPr>
    <tabColor rgb="FF2A74A8"/>
  </sheetPr>
  <dimension ref="A3:F113"/>
  <sheetViews>
    <sheetView zoomScalePageLayoutView="0" workbookViewId="0" topLeftCell="A94">
      <selection activeCell="C111" sqref="C111"/>
    </sheetView>
  </sheetViews>
  <sheetFormatPr defaultColWidth="8.8515625" defaultRowHeight="15"/>
  <cols>
    <col min="1" max="1" width="8.8515625" style="4" customWidth="1"/>
    <col min="2" max="2" width="73.8515625" style="4" customWidth="1"/>
    <col min="3" max="3" width="37.7109375" style="4" customWidth="1"/>
    <col min="4" max="4" width="31.28125" style="4" customWidth="1"/>
    <col min="5" max="5" width="26.28125" style="4" customWidth="1"/>
    <col min="6" max="6" width="21.28125" style="4" customWidth="1"/>
    <col min="7" max="16384" width="8.8515625" style="4" customWidth="1"/>
  </cols>
  <sheetData>
    <row r="2" ht="14.25"/>
    <row r="3" ht="14.25" customHeight="1">
      <c r="D3" s="1"/>
    </row>
    <row r="4" spans="2:3" ht="31.5" customHeight="1">
      <c r="B4" s="18" t="s">
        <v>0</v>
      </c>
      <c r="C4" s="18"/>
    </row>
    <row r="5" ht="18">
      <c r="B5" s="17" t="s">
        <v>1</v>
      </c>
    </row>
    <row r="6" ht="14.25"/>
    <row r="7" spans="2:5" ht="14.25">
      <c r="B7" s="5"/>
      <c r="C7" s="5"/>
      <c r="E7" s="5"/>
    </row>
    <row r="8" spans="1:6" ht="14.25">
      <c r="A8" s="6"/>
      <c r="B8" s="97" t="s">
        <v>57</v>
      </c>
      <c r="C8" s="98"/>
      <c r="D8" s="98"/>
      <c r="E8" s="98"/>
      <c r="F8" s="98"/>
    </row>
    <row r="9" spans="3:4" ht="14.25">
      <c r="C9" s="43"/>
      <c r="D9" s="43"/>
    </row>
    <row r="10" spans="3:4" ht="14.25">
      <c r="C10" s="42" t="s">
        <v>87</v>
      </c>
      <c r="D10" s="35">
        <f>'Program Budget Overview'!C14</f>
        <v>0</v>
      </c>
    </row>
    <row r="11" spans="3:4" ht="14.25">
      <c r="C11" s="42" t="s">
        <v>68</v>
      </c>
      <c r="D11" s="41" t="e">
        <f>'Program Budget Overview'!C19</f>
        <v>#N/A</v>
      </c>
    </row>
    <row r="12" spans="3:4" ht="14.25">
      <c r="C12" s="42" t="s">
        <v>70</v>
      </c>
      <c r="D12" s="41">
        <f>'Program Budget Overview'!C20</f>
        <v>0</v>
      </c>
    </row>
    <row r="13" spans="3:4" ht="14.25">
      <c r="C13" s="42" t="s">
        <v>71</v>
      </c>
      <c r="D13" s="41" t="e">
        <f>'Program Budget Overview'!C21</f>
        <v>#N/A</v>
      </c>
    </row>
    <row r="14" spans="3:4" ht="14.25">
      <c r="C14" s="44" t="s">
        <v>72</v>
      </c>
      <c r="D14" s="15" t="e">
        <f>IF(D10="","Please Select an LEA",IF(D13&gt;0,"You have more funds available",IF(D13&lt;0,"You overspent your grant award","Your award budget is balanced")))</f>
        <v>#N/A</v>
      </c>
    </row>
    <row r="16" spans="2:6" ht="14.25">
      <c r="B16" s="99" t="s">
        <v>4</v>
      </c>
      <c r="C16" s="99"/>
      <c r="D16" s="99"/>
      <c r="E16" s="99"/>
      <c r="F16" s="99"/>
    </row>
    <row r="17" spans="2:6" ht="14.25">
      <c r="B17" s="9" t="s">
        <v>78</v>
      </c>
      <c r="C17" s="9" t="s">
        <v>77</v>
      </c>
      <c r="D17" s="9" t="s">
        <v>74</v>
      </c>
      <c r="E17" s="9" t="s">
        <v>75</v>
      </c>
      <c r="F17" s="9" t="s">
        <v>2</v>
      </c>
    </row>
    <row r="18" spans="2:6" ht="14.25">
      <c r="B18" s="46" t="s">
        <v>80</v>
      </c>
      <c r="C18" s="81" t="s">
        <v>85</v>
      </c>
      <c r="D18" s="34"/>
      <c r="E18" s="34"/>
      <c r="F18" s="5"/>
    </row>
    <row r="19" spans="2:6" ht="14.25">
      <c r="B19" s="47" t="s">
        <v>88</v>
      </c>
      <c r="C19" s="38" t="str">
        <f>IF(C18="No","Not Applicable","LEA Program Planning Costs")</f>
        <v>Not Applicable</v>
      </c>
      <c r="D19" s="36">
        <f>IF(C19="Not Applicable",0,100000)</f>
        <v>0</v>
      </c>
      <c r="E19" s="36">
        <v>0</v>
      </c>
      <c r="F19" s="37">
        <f>SUM(D19:E19)</f>
        <v>0</v>
      </c>
    </row>
    <row r="20" spans="2:6" ht="14.25">
      <c r="B20" s="47" t="s">
        <v>89</v>
      </c>
      <c r="C20" s="38" t="str">
        <f>IF(C18="No","Not Applicable","LEA Continued Implementation Costs")</f>
        <v>Not Applicable</v>
      </c>
      <c r="D20" s="36">
        <f>IF(C19="Not Applicable",0,65000)</f>
        <v>0</v>
      </c>
      <c r="E20" s="36">
        <f>IF(C19="Not Applicable",0,65000)</f>
        <v>0</v>
      </c>
      <c r="F20" s="37">
        <f>SUM(D20:E20)</f>
        <v>0</v>
      </c>
    </row>
    <row r="21" spans="2:6" ht="14.25">
      <c r="B21" s="47" t="s">
        <v>133</v>
      </c>
      <c r="C21" s="38" t="str">
        <f>IF(C18="No","Not Applicable","LEA Marketing and Recruitment Costs")</f>
        <v>Not Applicable</v>
      </c>
      <c r="D21" s="36">
        <f>IF(C21="Not Applicable",0,'z_Formula Assumptions'!C31)</f>
        <v>0</v>
      </c>
      <c r="E21" s="36">
        <f>IF(C21="Not Applicable",0,'z_Formula Assumptions'!C31)</f>
        <v>0</v>
      </c>
      <c r="F21" s="37">
        <f>SUM(D21:E21)</f>
        <v>0</v>
      </c>
    </row>
    <row r="22" spans="2:6" ht="14.25">
      <c r="B22" s="45" t="s">
        <v>139</v>
      </c>
      <c r="C22" s="38"/>
      <c r="D22" s="36"/>
      <c r="E22" s="36"/>
      <c r="F22" s="37"/>
    </row>
    <row r="23" spans="2:6" ht="14.25">
      <c r="B23" s="47" t="s">
        <v>135</v>
      </c>
      <c r="C23" s="81">
        <v>0</v>
      </c>
      <c r="D23" s="36"/>
      <c r="E23" s="36"/>
      <c r="F23" s="37"/>
    </row>
    <row r="24" spans="2:6" ht="14.25">
      <c r="B24" s="47" t="s">
        <v>203</v>
      </c>
      <c r="C24" s="81">
        <v>0</v>
      </c>
      <c r="D24" s="36"/>
      <c r="E24" s="36"/>
      <c r="F24" s="37"/>
    </row>
    <row r="25" spans="2:6" ht="14.25">
      <c r="B25" s="47" t="s">
        <v>107</v>
      </c>
      <c r="C25" s="38"/>
      <c r="D25" s="36">
        <f>SUM((IF(C23&gt;0,'z_Formula Assumptions'!C4*C23,0)),IF(C24&gt;0,'z_Formula Assumptions'!C5*C24,0))</f>
        <v>0</v>
      </c>
      <c r="E25" s="36">
        <f>SUM((IF(C23&gt;0,'z_Formula Assumptions'!C4*C23,0)),IF(C24&gt;0,'z_Formula Assumptions'!C5*C24,0))</f>
        <v>0</v>
      </c>
      <c r="F25" s="37">
        <f>SUM(D25:E25)</f>
        <v>0</v>
      </c>
    </row>
    <row r="26" spans="2:6" ht="14.25">
      <c r="B26" s="47" t="s">
        <v>134</v>
      </c>
      <c r="C26" s="38"/>
      <c r="D26" s="36">
        <f>(SUM(C23:C24)*'z_Formula Assumptions'!C6)</f>
        <v>0</v>
      </c>
      <c r="E26" s="36">
        <f>(SUM(C23:C24)*'z_Formula Assumptions'!C6)</f>
        <v>0</v>
      </c>
      <c r="F26" s="37">
        <f>SUM(D26:E26)</f>
        <v>0</v>
      </c>
    </row>
    <row r="27" spans="2:6" ht="14.25">
      <c r="B27" s="47" t="s">
        <v>108</v>
      </c>
      <c r="C27" s="38"/>
      <c r="D27" s="36">
        <f>(SUM(C23:C24)*'z_Formula Assumptions'!C7)</f>
        <v>0</v>
      </c>
      <c r="E27" s="36">
        <f>(SUM(C23:C24)*'z_Formula Assumptions'!C7)</f>
        <v>0</v>
      </c>
      <c r="F27" s="37">
        <f>SUM(D27:E27)</f>
        <v>0</v>
      </c>
    </row>
    <row r="28" spans="2:6" ht="14.25">
      <c r="B28" s="47" t="s">
        <v>109</v>
      </c>
      <c r="C28" s="38"/>
      <c r="D28" s="36">
        <f>SUM((IF(C23&gt;0,'z_Formula Assumptions'!C9*C23,0)),IF(C24&gt;0,'z_Formula Assumptions'!C9*C24,0))</f>
        <v>0</v>
      </c>
      <c r="E28" s="36">
        <f>SUM((IF(C23&gt;0,'z_Formula Assumptions'!C9*(C23*2),0)),(IF(C24&gt;0,'z_Formula Assumptions'!C9*(C24*2),0)))</f>
        <v>0</v>
      </c>
      <c r="F28" s="37">
        <f>SUM(D28:E28)</f>
        <v>0</v>
      </c>
    </row>
    <row r="29" spans="2:6" ht="14.25">
      <c r="B29" s="46" t="s">
        <v>211</v>
      </c>
      <c r="C29" s="38"/>
      <c r="D29" s="36"/>
      <c r="E29" s="36"/>
      <c r="F29" s="37"/>
    </row>
    <row r="30" spans="2:6" ht="14.25">
      <c r="B30" s="54" t="s">
        <v>136</v>
      </c>
      <c r="C30" s="83"/>
      <c r="D30" s="24">
        <f>IF(C30="",0,'z_Formula Assumptions'!C10)</f>
        <v>0</v>
      </c>
      <c r="E30" s="24">
        <f>IF(C30="",0,'z_Formula Assumptions'!C10)</f>
        <v>0</v>
      </c>
      <c r="F30" s="37">
        <f>SUM(D30:E30)</f>
        <v>0</v>
      </c>
    </row>
    <row r="31" spans="2:6" ht="14.25">
      <c r="B31" s="22" t="s">
        <v>76</v>
      </c>
      <c r="C31" s="22"/>
      <c r="D31" s="51">
        <f>SUM(D18:D30)</f>
        <v>0</v>
      </c>
      <c r="E31" s="51">
        <f>SUM(E18:E30)</f>
        <v>0</v>
      </c>
      <c r="F31" s="51">
        <f>SUM(F18:F30)</f>
        <v>0</v>
      </c>
    </row>
    <row r="33" spans="2:6" ht="14.25">
      <c r="B33" s="99" t="s">
        <v>60</v>
      </c>
      <c r="C33" s="99"/>
      <c r="D33" s="99"/>
      <c r="E33" s="99"/>
      <c r="F33" s="99"/>
    </row>
    <row r="34" spans="2:6" ht="14.25">
      <c r="B34" s="9" t="s">
        <v>78</v>
      </c>
      <c r="C34" s="9" t="s">
        <v>77</v>
      </c>
      <c r="D34" s="9" t="s">
        <v>74</v>
      </c>
      <c r="E34" s="9" t="s">
        <v>75</v>
      </c>
      <c r="F34" s="9" t="s">
        <v>2</v>
      </c>
    </row>
    <row r="35" spans="2:6" ht="14.25">
      <c r="B35" s="46" t="s">
        <v>80</v>
      </c>
      <c r="C35" s="81" t="s">
        <v>85</v>
      </c>
      <c r="D35" s="34"/>
      <c r="E35" s="34"/>
      <c r="F35" s="5"/>
    </row>
    <row r="36" spans="2:6" ht="14.25">
      <c r="B36" s="47" t="s">
        <v>88</v>
      </c>
      <c r="C36" s="38" t="str">
        <f>IF(C35="No","Not Applicable","LEA Program Planning Costs")</f>
        <v>Not Applicable</v>
      </c>
      <c r="D36" s="36">
        <f>IF(C36="Not Applicable",0,100000)</f>
        <v>0</v>
      </c>
      <c r="E36" s="36">
        <v>0</v>
      </c>
      <c r="F36" s="37">
        <f>SUM(D36:E36)</f>
        <v>0</v>
      </c>
    </row>
    <row r="37" spans="2:6" ht="14.25">
      <c r="B37" s="47" t="s">
        <v>89</v>
      </c>
      <c r="C37" s="38" t="str">
        <f>IF(C35="No","Not Applicable","LEA Continued Implementation Costs")</f>
        <v>Not Applicable</v>
      </c>
      <c r="D37" s="36">
        <f>IF(C36="Not Applicable",0,65000)</f>
        <v>0</v>
      </c>
      <c r="E37" s="36">
        <f>IF(C36="Not Applicable",0,65000)</f>
        <v>0</v>
      </c>
      <c r="F37" s="37">
        <f>SUM(D37:E37)</f>
        <v>0</v>
      </c>
    </row>
    <row r="38" spans="2:6" ht="14.25">
      <c r="B38" s="47" t="s">
        <v>133</v>
      </c>
      <c r="C38" s="38" t="str">
        <f>IF(C35="No","Not Applicable","LEA Marketing and Recruitment Costs")</f>
        <v>Not Applicable</v>
      </c>
      <c r="D38" s="36">
        <f>IF(C38="Not Applicable",0,'z_Formula Assumptions'!C31)</f>
        <v>0</v>
      </c>
      <c r="E38" s="36">
        <f>IF(C38="Not Applicable",0,'z_Formula Assumptions'!C31)</f>
        <v>0</v>
      </c>
      <c r="F38" s="37">
        <f>SUM(D38:E38)</f>
        <v>0</v>
      </c>
    </row>
    <row r="39" spans="2:6" ht="14.25">
      <c r="B39" s="46" t="s">
        <v>93</v>
      </c>
      <c r="C39" s="38"/>
      <c r="D39" s="36"/>
      <c r="E39" s="36"/>
      <c r="F39" s="37"/>
    </row>
    <row r="40" spans="2:6" ht="14.25">
      <c r="B40" s="47" t="s">
        <v>102</v>
      </c>
      <c r="C40" s="81">
        <v>0</v>
      </c>
      <c r="D40" s="36">
        <f>$C40*'z_Formula Assumptions'!C14</f>
        <v>0</v>
      </c>
      <c r="E40" s="36">
        <v>0</v>
      </c>
      <c r="F40" s="37">
        <f>SUM(D40:E40)</f>
        <v>0</v>
      </c>
    </row>
    <row r="41" spans="2:6" ht="14.25">
      <c r="B41" s="47" t="s">
        <v>103</v>
      </c>
      <c r="C41" s="81">
        <v>0</v>
      </c>
      <c r="D41" s="36">
        <f>$C41*'z_Formula Assumptions'!C15</f>
        <v>0</v>
      </c>
      <c r="E41" s="36">
        <v>0</v>
      </c>
      <c r="F41" s="37">
        <f>SUM(D41:E41)</f>
        <v>0</v>
      </c>
    </row>
    <row r="42" spans="2:6" ht="14.25">
      <c r="B42" s="47" t="s">
        <v>104</v>
      </c>
      <c r="C42" s="81">
        <v>0</v>
      </c>
      <c r="D42" s="36">
        <v>0</v>
      </c>
      <c r="E42" s="36">
        <f>$C42*'z_Formula Assumptions'!C14</f>
        <v>0</v>
      </c>
      <c r="F42" s="37">
        <f>SUM(D42:E42)</f>
        <v>0</v>
      </c>
    </row>
    <row r="43" spans="2:6" ht="14.25">
      <c r="B43" s="47" t="s">
        <v>105</v>
      </c>
      <c r="C43" s="81">
        <v>0</v>
      </c>
      <c r="D43" s="36">
        <v>0</v>
      </c>
      <c r="E43" s="36">
        <f>$C43*'z_Formula Assumptions'!C15</f>
        <v>0</v>
      </c>
      <c r="F43" s="37">
        <f>SUM(D43:E43)</f>
        <v>0</v>
      </c>
    </row>
    <row r="44" spans="2:6" ht="14.25">
      <c r="B44" s="45" t="s">
        <v>94</v>
      </c>
      <c r="C44" s="38"/>
      <c r="D44" s="36"/>
      <c r="E44" s="36"/>
      <c r="F44" s="37"/>
    </row>
    <row r="45" spans="2:6" ht="14.25">
      <c r="B45" s="47" t="s">
        <v>100</v>
      </c>
      <c r="C45" s="81">
        <v>0</v>
      </c>
      <c r="D45" s="36">
        <f>C45*'z_Formula Assumptions'!C16</f>
        <v>0</v>
      </c>
      <c r="E45" s="36">
        <f>C45*'z_Formula Assumptions'!C16</f>
        <v>0</v>
      </c>
      <c r="F45" s="37">
        <f>SUM(D45:E45)</f>
        <v>0</v>
      </c>
    </row>
    <row r="46" spans="2:6" ht="14.25">
      <c r="B46" s="47" t="s">
        <v>101</v>
      </c>
      <c r="C46" s="81">
        <v>0</v>
      </c>
      <c r="D46" s="36">
        <f>'z_Formula Assumptions'!C17*C46</f>
        <v>0</v>
      </c>
      <c r="E46" s="36">
        <f>'z_Formula Assumptions'!C17*C46</f>
        <v>0</v>
      </c>
      <c r="F46" s="37">
        <f>SUM(D46:E46)</f>
        <v>0</v>
      </c>
    </row>
    <row r="47" spans="2:6" ht="14.25">
      <c r="B47" s="48" t="s">
        <v>95</v>
      </c>
      <c r="C47" s="35">
        <f>0.25*C45</f>
        <v>0</v>
      </c>
      <c r="D47" s="10">
        <f>IF(C47&gt;0,C47*'z_Formula Assumptions'!C18,0)</f>
        <v>0</v>
      </c>
      <c r="E47" s="10">
        <f>IF(C47&gt;0,C47*'z_Formula Assumptions'!C18,0)</f>
        <v>0</v>
      </c>
      <c r="F47" s="37">
        <f>SUM(D47:E47)</f>
        <v>0</v>
      </c>
    </row>
    <row r="48" spans="2:6" ht="14.25">
      <c r="B48" s="49" t="s">
        <v>98</v>
      </c>
      <c r="C48" s="15" t="str">
        <f>IF(SUM(C40:C43,C45:C46)&gt;0,"Yes","Not Applicable")</f>
        <v>Not Applicable</v>
      </c>
      <c r="D48" s="24">
        <f>IF(C48="Yes",SUM(C40:C41,C45:C46)*'z_Formula Assumptions'!C19,0)</f>
        <v>0</v>
      </c>
      <c r="E48" s="24">
        <f>IF(C48="Yes",SUM(C42:C43,C45:C46)*'z_Formula Assumptions'!C19,0)</f>
        <v>0</v>
      </c>
      <c r="F48" s="32">
        <f>SUM(D48:E48)</f>
        <v>0</v>
      </c>
    </row>
    <row r="49" spans="2:6" ht="14.25">
      <c r="B49" s="22" t="s">
        <v>76</v>
      </c>
      <c r="C49" s="22"/>
      <c r="D49" s="51">
        <f>SUM(D35:D48)</f>
        <v>0</v>
      </c>
      <c r="E49" s="51">
        <f>SUM(E35:E48)</f>
        <v>0</v>
      </c>
      <c r="F49" s="51">
        <f>SUM(F35:F48)</f>
        <v>0</v>
      </c>
    </row>
    <row r="51" spans="2:6" ht="14.25">
      <c r="B51" s="99" t="s">
        <v>61</v>
      </c>
      <c r="C51" s="99"/>
      <c r="D51" s="99"/>
      <c r="E51" s="99"/>
      <c r="F51" s="99"/>
    </row>
    <row r="52" spans="2:6" ht="14.25">
      <c r="B52" s="9" t="s">
        <v>78</v>
      </c>
      <c r="C52" s="9" t="s">
        <v>77</v>
      </c>
      <c r="D52" s="9" t="s">
        <v>74</v>
      </c>
      <c r="E52" s="9" t="s">
        <v>75</v>
      </c>
      <c r="F52" s="9" t="s">
        <v>2</v>
      </c>
    </row>
    <row r="53" spans="2:6" ht="14.25">
      <c r="B53" s="46" t="s">
        <v>80</v>
      </c>
      <c r="C53" s="81" t="s">
        <v>85</v>
      </c>
      <c r="D53" s="34"/>
      <c r="E53" s="34"/>
      <c r="F53" s="5"/>
    </row>
    <row r="54" spans="2:6" ht="14.25">
      <c r="B54" s="47" t="s">
        <v>88</v>
      </c>
      <c r="C54" s="38" t="str">
        <f>IF(C53="No","Not Applicable","LEA Program Planning Costs")</f>
        <v>Not Applicable</v>
      </c>
      <c r="D54" s="36">
        <f>IF(C54="Not Applicable",0,100000)</f>
        <v>0</v>
      </c>
      <c r="E54" s="36">
        <v>0</v>
      </c>
      <c r="F54" s="37">
        <f>SUM(D54:E54)</f>
        <v>0</v>
      </c>
    </row>
    <row r="55" spans="2:6" ht="14.25">
      <c r="B55" s="47" t="s">
        <v>89</v>
      </c>
      <c r="C55" s="38" t="str">
        <f>IF(C53="No","Not Applicable","LEA Continued Implementation Costs")</f>
        <v>Not Applicable</v>
      </c>
      <c r="D55" s="36">
        <f>IF(C54="Not Applicable",0,65000)</f>
        <v>0</v>
      </c>
      <c r="E55" s="36">
        <f>IF(C54="Not Applicable",0,65000)</f>
        <v>0</v>
      </c>
      <c r="F55" s="37">
        <f>SUM(D55:E55)</f>
        <v>0</v>
      </c>
    </row>
    <row r="56" spans="2:6" ht="14.25">
      <c r="B56" s="47" t="s">
        <v>133</v>
      </c>
      <c r="C56" s="38" t="str">
        <f>IF(C53="No","Not Applicable","LEA Marketing and Recruitment Costs")</f>
        <v>Not Applicable</v>
      </c>
      <c r="D56" s="36">
        <f>IF(C56="Not Applicable",0,'z_Formula Assumptions'!C25)</f>
        <v>0</v>
      </c>
      <c r="E56" s="36">
        <f>IF(C56="Not Applicable",0,'z_Formula Assumptions'!C25)</f>
        <v>0</v>
      </c>
      <c r="F56" s="37">
        <f>SUM(D56:E56)</f>
        <v>0</v>
      </c>
    </row>
    <row r="57" spans="2:6" ht="14.25">
      <c r="B57" s="46" t="s">
        <v>93</v>
      </c>
      <c r="C57" s="38"/>
      <c r="D57" s="36"/>
      <c r="E57" s="36"/>
      <c r="F57" s="37"/>
    </row>
    <row r="58" spans="2:6" ht="14.25">
      <c r="B58" s="47" t="s">
        <v>145</v>
      </c>
      <c r="C58" s="81">
        <v>0</v>
      </c>
      <c r="D58" s="36"/>
      <c r="E58" s="36"/>
      <c r="F58" s="37"/>
    </row>
    <row r="59" spans="2:6" ht="14.25">
      <c r="B59" s="47" t="s">
        <v>146</v>
      </c>
      <c r="C59" s="34"/>
      <c r="D59" s="36">
        <f>$C58*'z_Formula Assumptions'!C23</f>
        <v>0</v>
      </c>
      <c r="E59" s="36">
        <f>$C58*'z_Formula Assumptions'!C23</f>
        <v>0</v>
      </c>
      <c r="F59" s="37">
        <f>SUM(D59:E59)</f>
        <v>0</v>
      </c>
    </row>
    <row r="60" spans="2:6" ht="14.25">
      <c r="B60" s="47" t="s">
        <v>147</v>
      </c>
      <c r="C60" s="34"/>
      <c r="D60" s="36">
        <f>$C58*'z_Formula Assumptions'!C24</f>
        <v>0</v>
      </c>
      <c r="E60" s="36">
        <f>$C58*'z_Formula Assumptions'!C24</f>
        <v>0</v>
      </c>
      <c r="F60" s="37">
        <f>SUM(D60:E60)</f>
        <v>0</v>
      </c>
    </row>
    <row r="61" spans="2:6" ht="14.25">
      <c r="B61" s="49" t="s">
        <v>98</v>
      </c>
      <c r="C61" s="15" t="str">
        <f>IF(C58&gt;0,"Yes","Not Applicable")</f>
        <v>Not Applicable</v>
      </c>
      <c r="D61" s="24">
        <f>IF(C61="Yes",C58)*'z_Formula Assumptions'!C26</f>
        <v>0</v>
      </c>
      <c r="E61" s="24">
        <f>IF(C61="Yes",C58)*'z_Formula Assumptions'!C26</f>
        <v>0</v>
      </c>
      <c r="F61" s="32">
        <f>SUM(D61:E61)</f>
        <v>0</v>
      </c>
    </row>
    <row r="62" spans="2:6" ht="14.25">
      <c r="B62" s="22" t="s">
        <v>76</v>
      </c>
      <c r="C62" s="22"/>
      <c r="D62" s="51">
        <f>SUM(D53:D61)</f>
        <v>0</v>
      </c>
      <c r="E62" s="51">
        <f>SUM(E53:E61)</f>
        <v>0</v>
      </c>
      <c r="F62" s="51">
        <f>SUM(F53:F61)</f>
        <v>0</v>
      </c>
    </row>
    <row r="64" spans="2:6" ht="14.25">
      <c r="B64" s="99" t="s">
        <v>62</v>
      </c>
      <c r="C64" s="99"/>
      <c r="D64" s="99"/>
      <c r="E64" s="99"/>
      <c r="F64" s="99"/>
    </row>
    <row r="65" spans="2:6" ht="14.25">
      <c r="B65" s="9" t="s">
        <v>78</v>
      </c>
      <c r="C65" s="9" t="s">
        <v>77</v>
      </c>
      <c r="D65" s="9" t="s">
        <v>74</v>
      </c>
      <c r="E65" s="9" t="s">
        <v>75</v>
      </c>
      <c r="F65" s="9" t="s">
        <v>2</v>
      </c>
    </row>
    <row r="66" spans="2:6" ht="14.25">
      <c r="B66" s="46" t="s">
        <v>80</v>
      </c>
      <c r="C66" s="81" t="s">
        <v>85</v>
      </c>
      <c r="D66" s="34"/>
      <c r="E66" s="34"/>
      <c r="F66" s="5"/>
    </row>
    <row r="67" spans="2:6" ht="14.25">
      <c r="B67" s="47" t="s">
        <v>88</v>
      </c>
      <c r="C67" s="38" t="str">
        <f>IF(C66="No","Not Applicable","LEA Program Planning Costs")</f>
        <v>Not Applicable</v>
      </c>
      <c r="D67" s="36">
        <f>IF(C67="Not Applicable",0,100000)</f>
        <v>0</v>
      </c>
      <c r="E67" s="36">
        <v>0</v>
      </c>
      <c r="F67" s="37">
        <f>SUM(D67:E67)</f>
        <v>0</v>
      </c>
    </row>
    <row r="68" spans="2:6" ht="14.25">
      <c r="B68" s="47" t="s">
        <v>89</v>
      </c>
      <c r="C68" s="38" t="str">
        <f>IF(C66="No","Not Applicable","LEA Continued Implementation Costs")</f>
        <v>Not Applicable</v>
      </c>
      <c r="D68" s="36">
        <f>IF(C67="Not Applicable",0,65000)</f>
        <v>0</v>
      </c>
      <c r="E68" s="36">
        <f>IF(C67="Not Applicable",0,65000)</f>
        <v>0</v>
      </c>
      <c r="F68" s="37">
        <f>SUM(D68:E68)</f>
        <v>0</v>
      </c>
    </row>
    <row r="69" spans="2:6" ht="14.25">
      <c r="B69" s="47" t="s">
        <v>133</v>
      </c>
      <c r="C69" s="38" t="str">
        <f>IF(C66="No","Not Applicable","LEA Marketing and Recruitment Costs")</f>
        <v>Not Applicable</v>
      </c>
      <c r="D69" s="36">
        <f>IF(C67="Not Applicable",0,'z_Formula Assumptions'!C31)</f>
        <v>0</v>
      </c>
      <c r="E69" s="36">
        <f>IF(C67="Not Applicable",0,'z_Formula Assumptions'!C31)</f>
        <v>0</v>
      </c>
      <c r="F69" s="37">
        <f>SUM(D69:E69)</f>
        <v>0</v>
      </c>
    </row>
    <row r="70" spans="2:6" ht="14.25">
      <c r="B70" s="46" t="s">
        <v>142</v>
      </c>
      <c r="C70" s="38"/>
      <c r="D70" s="36"/>
      <c r="E70" s="36"/>
      <c r="F70" s="37"/>
    </row>
    <row r="71" spans="2:6" ht="14.25">
      <c r="B71" s="47" t="s">
        <v>141</v>
      </c>
      <c r="C71" s="81">
        <v>0</v>
      </c>
      <c r="D71" s="36">
        <f>$C71*'z_Formula Assumptions'!C30</f>
        <v>0</v>
      </c>
      <c r="E71" s="36">
        <f>$C71*'z_Formula Assumptions'!C30</f>
        <v>0</v>
      </c>
      <c r="F71" s="37">
        <f>SUM(D71:E71)</f>
        <v>0</v>
      </c>
    </row>
    <row r="72" spans="2:6" ht="14.25">
      <c r="B72" s="46" t="s">
        <v>110</v>
      </c>
      <c r="C72" s="38"/>
      <c r="D72" s="36"/>
      <c r="E72" s="36"/>
      <c r="F72" s="37"/>
    </row>
    <row r="73" spans="2:6" ht="14.25">
      <c r="B73" s="54" t="s">
        <v>136</v>
      </c>
      <c r="C73" s="83"/>
      <c r="D73" s="24">
        <f>IF(C73="",0,'z_Formula Assumptions'!C32)</f>
        <v>0</v>
      </c>
      <c r="E73" s="24">
        <f>IF(C73="",0,'z_Formula Assumptions'!C32)</f>
        <v>0</v>
      </c>
      <c r="F73" s="37">
        <f>SUM(D73:E73)</f>
        <v>0</v>
      </c>
    </row>
    <row r="74" spans="2:6" ht="14.25">
      <c r="B74" s="22" t="s">
        <v>76</v>
      </c>
      <c r="C74" s="22"/>
      <c r="D74" s="51">
        <f>SUM(D66:D73)</f>
        <v>0</v>
      </c>
      <c r="E74" s="51">
        <f>SUM(E66:E73)</f>
        <v>0</v>
      </c>
      <c r="F74" s="51">
        <f>SUM(F66:F73)</f>
        <v>0</v>
      </c>
    </row>
    <row r="76" spans="2:6" ht="14.25">
      <c r="B76" s="99" t="s">
        <v>63</v>
      </c>
      <c r="C76" s="99"/>
      <c r="D76" s="99"/>
      <c r="E76" s="99"/>
      <c r="F76" s="99"/>
    </row>
    <row r="77" spans="2:6" ht="14.25">
      <c r="B77" s="9" t="s">
        <v>78</v>
      </c>
      <c r="C77" s="9" t="s">
        <v>77</v>
      </c>
      <c r="D77" s="9" t="s">
        <v>74</v>
      </c>
      <c r="E77" s="9" t="s">
        <v>75</v>
      </c>
      <c r="F77" s="9" t="s">
        <v>2</v>
      </c>
    </row>
    <row r="78" spans="2:6" ht="14.25">
      <c r="B78" s="46" t="s">
        <v>80</v>
      </c>
      <c r="C78" s="81" t="s">
        <v>85</v>
      </c>
      <c r="D78" s="34"/>
      <c r="E78" s="34"/>
      <c r="F78" s="5"/>
    </row>
    <row r="79" spans="2:6" ht="14.25">
      <c r="B79" s="47" t="s">
        <v>88</v>
      </c>
      <c r="C79" s="38" t="str">
        <f>IF(C78="No","Not Applicable","LEA Program Planning Costs")</f>
        <v>Not Applicable</v>
      </c>
      <c r="D79" s="36">
        <f>IF(C79="Not Applicable",0,100000)</f>
        <v>0</v>
      </c>
      <c r="E79" s="36">
        <v>0</v>
      </c>
      <c r="F79" s="37">
        <f>SUM(D79:E79)</f>
        <v>0</v>
      </c>
    </row>
    <row r="80" spans="2:6" ht="14.25">
      <c r="B80" s="47" t="s">
        <v>89</v>
      </c>
      <c r="C80" s="38" t="str">
        <f>IF(C78="No","Not Applicable","LEA Continued Implementation Costs")</f>
        <v>Not Applicable</v>
      </c>
      <c r="D80" s="36">
        <f>IF(C79="Not Applicable",0,65000)</f>
        <v>0</v>
      </c>
      <c r="E80" s="36">
        <f>IF(C79="Not Applicable",0,65000)</f>
        <v>0</v>
      </c>
      <c r="F80" s="37">
        <f>SUM(D80:E80)</f>
        <v>0</v>
      </c>
    </row>
    <row r="81" spans="2:6" ht="14.25">
      <c r="B81" s="47" t="s">
        <v>133</v>
      </c>
      <c r="C81" s="38" t="str">
        <f>IF(C78="No","Not Applicable","LEA Marketing and Recruitment Costs")</f>
        <v>Not Applicable</v>
      </c>
      <c r="D81" s="36">
        <f>IF(C79="Not Applicable",0,'z_Formula Assumptions'!C36)</f>
        <v>0</v>
      </c>
      <c r="E81" s="36">
        <f>IF(C79="Not Applicable",0,'z_Formula Assumptions'!C36)</f>
        <v>0</v>
      </c>
      <c r="F81" s="37">
        <f>SUM(D81:E81)</f>
        <v>0</v>
      </c>
    </row>
    <row r="82" spans="2:6" ht="14.25">
      <c r="B82" s="46" t="s">
        <v>150</v>
      </c>
      <c r="C82" s="38"/>
      <c r="D82" s="36"/>
      <c r="E82" s="36"/>
      <c r="F82" s="37"/>
    </row>
    <row r="83" spans="2:6" ht="14.25">
      <c r="B83" s="47" t="s">
        <v>141</v>
      </c>
      <c r="C83" s="81">
        <v>0</v>
      </c>
      <c r="D83" s="36"/>
      <c r="E83" s="36"/>
      <c r="F83" s="37"/>
    </row>
    <row r="84" spans="2:6" ht="14.25">
      <c r="B84" s="47" t="s">
        <v>161</v>
      </c>
      <c r="C84" s="34"/>
      <c r="D84" s="36">
        <f>ROUNDUP(C83/20,0)*'z_Formula Assumptions'!C39</f>
        <v>0</v>
      </c>
      <c r="E84" s="36">
        <f>ROUNDUP(C83/20,0)*'z_Formula Assumptions'!C39</f>
        <v>0</v>
      </c>
      <c r="F84" s="37">
        <f>SUM(D84:E84)</f>
        <v>0</v>
      </c>
    </row>
    <row r="85" spans="2:6" ht="14.25">
      <c r="B85" s="47" t="s">
        <v>156</v>
      </c>
      <c r="C85" s="34"/>
      <c r="D85" s="36">
        <f>ROUNDUP(C83/20,0)*'z_Formula Assumptions'!C40</f>
        <v>0</v>
      </c>
      <c r="E85" s="36">
        <f>ROUNDUP(C83/20,0)*'z_Formula Assumptions'!C40</f>
        <v>0</v>
      </c>
      <c r="F85" s="37">
        <f>SUM(D85:E85)</f>
        <v>0</v>
      </c>
    </row>
    <row r="86" spans="2:6" ht="14.25">
      <c r="B86" s="46" t="s">
        <v>151</v>
      </c>
      <c r="C86" s="34"/>
      <c r="D86" s="36"/>
      <c r="E86" s="36"/>
      <c r="F86" s="37"/>
    </row>
    <row r="87" spans="2:6" ht="14.25">
      <c r="B87" s="47" t="s">
        <v>166</v>
      </c>
      <c r="C87" s="81">
        <v>0</v>
      </c>
      <c r="D87" s="36">
        <f>C87*'z_Formula Assumptions'!C41</f>
        <v>0</v>
      </c>
      <c r="E87" s="36">
        <f>(C87*2)*'z_Formula Assumptions'!C41</f>
        <v>0</v>
      </c>
      <c r="F87" s="37">
        <f>SUM(D87:E87)</f>
        <v>0</v>
      </c>
    </row>
    <row r="88" spans="2:6" ht="14.25">
      <c r="B88" s="46" t="s">
        <v>152</v>
      </c>
      <c r="C88" s="34"/>
      <c r="D88" s="36"/>
      <c r="E88" s="36"/>
      <c r="F88" s="37"/>
    </row>
    <row r="89" spans="2:6" ht="14.25">
      <c r="B89" s="47" t="s">
        <v>155</v>
      </c>
      <c r="C89" s="81">
        <v>0</v>
      </c>
      <c r="D89" s="36">
        <f>C89*'z_Formula Assumptions'!C37</f>
        <v>0</v>
      </c>
      <c r="E89" s="36">
        <f>C89*'z_Formula Assumptions'!C37</f>
        <v>0</v>
      </c>
      <c r="F89" s="37">
        <f>SUM(D89:E89)</f>
        <v>0</v>
      </c>
    </row>
    <row r="90" spans="2:6" ht="14.25">
      <c r="B90" s="54" t="s">
        <v>163</v>
      </c>
      <c r="C90" s="15" t="str">
        <f>IF(C89&gt;0,"Yes","Not Applicable")</f>
        <v>Not Applicable</v>
      </c>
      <c r="D90" s="24">
        <f>IF(C90="Yes",'z_Formula Assumptions'!C38,0)</f>
        <v>0</v>
      </c>
      <c r="E90" s="24">
        <f>IF(C90="Yes",'z_Formula Assumptions'!C38,0)</f>
        <v>0</v>
      </c>
      <c r="F90" s="37">
        <f>SUM(D90:E90)</f>
        <v>0</v>
      </c>
    </row>
    <row r="91" spans="2:6" ht="14.25">
      <c r="B91" s="22" t="s">
        <v>76</v>
      </c>
      <c r="C91" s="22"/>
      <c r="D91" s="58">
        <f>SUM(D78:D90)</f>
        <v>0</v>
      </c>
      <c r="E91" s="58">
        <f>SUM(E78:E90)</f>
        <v>0</v>
      </c>
      <c r="F91" s="51">
        <f>SUM(F78:F90)</f>
        <v>0</v>
      </c>
    </row>
    <row r="93" spans="2:6" ht="14.25">
      <c r="B93" s="99" t="s">
        <v>64</v>
      </c>
      <c r="C93" s="99"/>
      <c r="D93" s="99"/>
      <c r="E93" s="99"/>
      <c r="F93" s="99"/>
    </row>
    <row r="94" spans="2:6" ht="14.25">
      <c r="B94" s="9" t="s">
        <v>78</v>
      </c>
      <c r="C94" s="9" t="s">
        <v>77</v>
      </c>
      <c r="D94" s="9" t="s">
        <v>74</v>
      </c>
      <c r="E94" s="9" t="s">
        <v>75</v>
      </c>
      <c r="F94" s="9" t="s">
        <v>2</v>
      </c>
    </row>
    <row r="95" spans="2:6" ht="14.25">
      <c r="B95" s="46" t="s">
        <v>80</v>
      </c>
      <c r="C95" s="81" t="s">
        <v>85</v>
      </c>
      <c r="D95" s="34"/>
      <c r="E95" s="34"/>
      <c r="F95" s="5"/>
    </row>
    <row r="96" spans="2:6" ht="14.25">
      <c r="B96" s="47" t="s">
        <v>88</v>
      </c>
      <c r="C96" s="38" t="str">
        <f>IF(C95="No","Not Applicable","LEA Program Planning Costs")</f>
        <v>Not Applicable</v>
      </c>
      <c r="D96" s="36">
        <f>IF(C96="Not Applicable",0,100000)</f>
        <v>0</v>
      </c>
      <c r="E96" s="36">
        <v>0</v>
      </c>
      <c r="F96" s="37">
        <f>SUM(D96:E96)</f>
        <v>0</v>
      </c>
    </row>
    <row r="97" spans="2:6" ht="14.25">
      <c r="B97" s="47" t="s">
        <v>89</v>
      </c>
      <c r="C97" s="38" t="str">
        <f>IF(C95="No","Not Applicable","LEA Continued Implementation Costs")</f>
        <v>Not Applicable</v>
      </c>
      <c r="D97" s="36">
        <f>IF(C96="Not Applicable",0,65000)</f>
        <v>0</v>
      </c>
      <c r="E97" s="36">
        <f>IF(C96="Not Applicable",0,65000)</f>
        <v>0</v>
      </c>
      <c r="F97" s="37">
        <f>SUM(D97:E97)</f>
        <v>0</v>
      </c>
    </row>
    <row r="98" spans="2:6" ht="14.25">
      <c r="B98" s="46" t="s">
        <v>170</v>
      </c>
      <c r="C98" s="38"/>
      <c r="D98" s="36"/>
      <c r="E98" s="36"/>
      <c r="F98" s="37"/>
    </row>
    <row r="99" spans="2:6" ht="14.25">
      <c r="B99" s="47" t="s">
        <v>171</v>
      </c>
      <c r="C99" s="81">
        <v>0</v>
      </c>
      <c r="D99" s="36">
        <f>('z_Formula Assumptions'!C45/2)*C99</f>
        <v>0</v>
      </c>
      <c r="E99" s="36">
        <f>('z_Formula Assumptions'!C45/2)*C99</f>
        <v>0</v>
      </c>
      <c r="F99" s="37">
        <f>SUM(D99:E99)</f>
        <v>0</v>
      </c>
    </row>
    <row r="100" spans="2:6" ht="14.25">
      <c r="B100" s="46" t="s">
        <v>168</v>
      </c>
      <c r="C100" s="38"/>
      <c r="D100" s="36"/>
      <c r="E100" s="36"/>
      <c r="F100" s="37"/>
    </row>
    <row r="101" spans="2:6" ht="14.25">
      <c r="B101" s="54" t="s">
        <v>169</v>
      </c>
      <c r="C101" s="84">
        <v>0</v>
      </c>
      <c r="D101" s="24">
        <v>0</v>
      </c>
      <c r="E101" s="24">
        <f>'z_Formula Assumptions'!C46*'Program Budget Detail'!C101</f>
        <v>0</v>
      </c>
      <c r="F101" s="37">
        <f>SUM(D101:E101)</f>
        <v>0</v>
      </c>
    </row>
    <row r="102" spans="2:6" ht="14.25">
      <c r="B102" s="22" t="s">
        <v>76</v>
      </c>
      <c r="C102" s="22"/>
      <c r="D102" s="51">
        <f>SUM(D95:D101)</f>
        <v>0</v>
      </c>
      <c r="E102" s="51">
        <f>SUM(E95:E101)</f>
        <v>0</v>
      </c>
      <c r="F102" s="51">
        <f>SUM(F95:F101)</f>
        <v>0</v>
      </c>
    </row>
    <row r="104" spans="2:6" ht="14.25">
      <c r="B104" s="99" t="s">
        <v>65</v>
      </c>
      <c r="C104" s="99"/>
      <c r="D104" s="99"/>
      <c r="E104" s="99"/>
      <c r="F104" s="99"/>
    </row>
    <row r="105" spans="2:6" ht="14.25">
      <c r="B105" s="9" t="s">
        <v>78</v>
      </c>
      <c r="C105" s="9" t="s">
        <v>77</v>
      </c>
      <c r="D105" s="9" t="s">
        <v>74</v>
      </c>
      <c r="E105" s="9" t="s">
        <v>75</v>
      </c>
      <c r="F105" s="9" t="s">
        <v>2</v>
      </c>
    </row>
    <row r="106" spans="2:6" ht="14.25">
      <c r="B106" s="46" t="s">
        <v>80</v>
      </c>
      <c r="C106" s="81" t="s">
        <v>85</v>
      </c>
      <c r="D106" s="34"/>
      <c r="E106" s="34"/>
      <c r="F106" s="5"/>
    </row>
    <row r="107" spans="2:6" ht="14.25">
      <c r="B107" s="47" t="s">
        <v>88</v>
      </c>
      <c r="C107" s="38" t="str">
        <f>IF(C106="No","Not Applicable","LEA Program Planning Costs")</f>
        <v>Not Applicable</v>
      </c>
      <c r="D107" s="36">
        <f>IF(C107="Not Applicable",0,100000)</f>
        <v>0</v>
      </c>
      <c r="E107" s="36">
        <v>0</v>
      </c>
      <c r="F107" s="37">
        <f>SUM(D107:E107)</f>
        <v>0</v>
      </c>
    </row>
    <row r="108" spans="2:6" ht="14.25">
      <c r="B108" s="47" t="s">
        <v>89</v>
      </c>
      <c r="C108" s="38" t="str">
        <f>IF(C106="No","Not Applicable","LEA Continued Implementation Costs")</f>
        <v>Not Applicable</v>
      </c>
      <c r="D108" s="36">
        <f>IF(C107="Not Applicable",0,65000)</f>
        <v>0</v>
      </c>
      <c r="E108" s="36">
        <f>IF(C107="Not Applicable",0,65000)</f>
        <v>0</v>
      </c>
      <c r="F108" s="37">
        <f>SUM(D108:E108)</f>
        <v>0</v>
      </c>
    </row>
    <row r="109" spans="2:6" ht="14.25">
      <c r="B109" s="47" t="s">
        <v>133</v>
      </c>
      <c r="C109" s="38" t="str">
        <f>IF(C106="No","Not Applicable","LEA Marketing and Recruitment Costs")</f>
        <v>Not Applicable</v>
      </c>
      <c r="D109" s="36">
        <f>IF(C107="Not Applicable",0,'z_Formula Assumptions'!C54)</f>
        <v>0</v>
      </c>
      <c r="E109" s="36">
        <f>IF(C107="Not Applicable",0,'z_Formula Assumptions'!C54)</f>
        <v>0</v>
      </c>
      <c r="F109" s="37">
        <f>SUM(D109:E109)</f>
        <v>0</v>
      </c>
    </row>
    <row r="110" spans="2:6" ht="14.25">
      <c r="B110" s="46" t="s">
        <v>170</v>
      </c>
      <c r="C110" s="38"/>
      <c r="D110" s="36"/>
      <c r="E110" s="36"/>
      <c r="F110" s="37"/>
    </row>
    <row r="111" spans="2:6" ht="14.25">
      <c r="B111" s="47" t="s">
        <v>176</v>
      </c>
      <c r="C111" s="81">
        <v>0</v>
      </c>
      <c r="D111" s="36"/>
      <c r="E111" s="36"/>
      <c r="F111" s="37"/>
    </row>
    <row r="112" spans="2:6" ht="14.25">
      <c r="B112" s="54" t="s">
        <v>177</v>
      </c>
      <c r="C112" s="15"/>
      <c r="D112" s="56">
        <v>0</v>
      </c>
      <c r="E112" s="56">
        <f>IF(C111=0,0,IF(C111/10&lt;=1,'z_Formula Assumptions'!C52,IF(C111/10&lt;=2,'z_Formula Assumptions'!C52*2,IF(C111/10&lt;=3,'z_Formula Assumptions'!C52*3,0))))</f>
        <v>0</v>
      </c>
      <c r="F112" s="32">
        <f>SUM(D112:E112)</f>
        <v>0</v>
      </c>
    </row>
    <row r="113" spans="2:6" ht="14.25">
      <c r="B113" s="22" t="s">
        <v>76</v>
      </c>
      <c r="C113" s="22"/>
      <c r="D113" s="58">
        <f>SUM(D106:D112)</f>
        <v>0</v>
      </c>
      <c r="E113" s="58">
        <f>SUM(E106:E112)</f>
        <v>0</v>
      </c>
      <c r="F113" s="58">
        <f>SUM(F106:F112)</f>
        <v>0</v>
      </c>
    </row>
  </sheetData>
  <sheetProtection sheet="1" selectLockedCells="1"/>
  <mergeCells count="8">
    <mergeCell ref="B76:F76"/>
    <mergeCell ref="B93:F93"/>
    <mergeCell ref="B104:F104"/>
    <mergeCell ref="B8:F8"/>
    <mergeCell ref="B16:F16"/>
    <mergeCell ref="B33:F33"/>
    <mergeCell ref="B51:F51"/>
    <mergeCell ref="B64:F64"/>
  </mergeCells>
  <conditionalFormatting sqref="D14">
    <cfRule type="containsText" priority="1" dxfId="2" operator="containsText" text="Please Select an LEA">
      <formula>NOT(ISERROR(SEARCH("Please Select an LEA",D14)))</formula>
    </cfRule>
    <cfRule type="containsText" priority="2" dxfId="2" operator="containsText" text="You have more funds available">
      <formula>NOT(ISERROR(SEARCH("You have more funds available",D14)))</formula>
    </cfRule>
    <cfRule type="containsText" priority="3" dxfId="8" operator="containsText" text="You overspent your grant award">
      <formula>NOT(ISERROR(SEARCH("You overspent your grant award",D14)))</formula>
    </cfRule>
    <cfRule type="containsText" priority="4" dxfId="9" operator="containsText" text="Your award budget is balanced">
      <formula>NOT(ISERROR(SEARCH("Your award budget is balanced",D14)))</formula>
    </cfRule>
  </conditionalFormatting>
  <dataValidations count="2">
    <dataValidation type="list" allowBlank="1" showInputMessage="1" showErrorMessage="1" sqref="C35 C53 C18 C66 C78 C95 C106">
      <formula1>YesNo</formula1>
    </dataValidation>
    <dataValidation type="list" allowBlank="1" showInputMessage="1" showErrorMessage="1" sqref="C30 C73">
      <formula1>IHE_Partners</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rgb="FF91969B"/>
  </sheetPr>
  <dimension ref="B2:F54"/>
  <sheetViews>
    <sheetView zoomScalePageLayoutView="0" workbookViewId="0" topLeftCell="A1">
      <selection activeCell="A1" sqref="A1:IV65536"/>
    </sheetView>
  </sheetViews>
  <sheetFormatPr defaultColWidth="8.8515625" defaultRowHeight="15"/>
  <cols>
    <col min="1" max="1" width="8.8515625" style="4" customWidth="1"/>
    <col min="2" max="2" width="41.57421875" style="4" customWidth="1"/>
    <col min="3" max="3" width="19.7109375" style="4" customWidth="1"/>
    <col min="4" max="5" width="8.8515625" style="4" customWidth="1"/>
    <col min="6" max="6" width="116.28125" style="4" customWidth="1"/>
    <col min="7" max="16384" width="8.8515625" style="4" customWidth="1"/>
  </cols>
  <sheetData>
    <row r="2" spans="2:6" ht="14.25">
      <c r="B2" s="99" t="s">
        <v>4</v>
      </c>
      <c r="C2" s="99"/>
      <c r="F2" s="100" t="s">
        <v>137</v>
      </c>
    </row>
    <row r="3" spans="2:6" ht="16.5" customHeight="1">
      <c r="B3" s="50" t="s">
        <v>92</v>
      </c>
      <c r="C3" s="50" t="s">
        <v>106</v>
      </c>
      <c r="F3" s="100"/>
    </row>
    <row r="4" spans="2:6" ht="16.5" customHeight="1">
      <c r="B4" s="4" t="s">
        <v>204</v>
      </c>
      <c r="C4" s="31">
        <f>(768*43)+(80.3*5)</f>
        <v>33425.5</v>
      </c>
      <c r="F4" s="100"/>
    </row>
    <row r="5" spans="2:6" ht="14.25">
      <c r="B5" s="4" t="s">
        <v>205</v>
      </c>
      <c r="C5" s="31">
        <v>42000</v>
      </c>
      <c r="F5" s="100"/>
    </row>
    <row r="6" spans="2:6" ht="14.25">
      <c r="B6" s="4" t="s">
        <v>134</v>
      </c>
      <c r="C6" s="31">
        <v>190</v>
      </c>
      <c r="F6" s="100"/>
    </row>
    <row r="7" spans="2:6" ht="14.25">
      <c r="B7" s="4" t="s">
        <v>108</v>
      </c>
      <c r="C7" s="31">
        <v>350</v>
      </c>
      <c r="F7" s="100"/>
    </row>
    <row r="8" spans="2:6" ht="14.25">
      <c r="B8" s="4" t="s">
        <v>133</v>
      </c>
      <c r="C8" s="31">
        <v>10000</v>
      </c>
      <c r="F8" s="100"/>
    </row>
    <row r="9" spans="2:6" ht="14.25">
      <c r="B9" s="4" t="s">
        <v>109</v>
      </c>
      <c r="C9" s="31">
        <v>25000</v>
      </c>
      <c r="F9" s="100"/>
    </row>
    <row r="10" spans="2:6" ht="14.25">
      <c r="B10" s="4" t="s">
        <v>111</v>
      </c>
      <c r="C10" s="31">
        <v>50000</v>
      </c>
      <c r="F10" s="29" t="s">
        <v>206</v>
      </c>
    </row>
    <row r="11" ht="14.25">
      <c r="F11" s="101" t="s">
        <v>138</v>
      </c>
    </row>
    <row r="12" spans="2:6" ht="14.25">
      <c r="B12" s="99" t="s">
        <v>60</v>
      </c>
      <c r="C12" s="99"/>
      <c r="F12" s="101"/>
    </row>
    <row r="13" spans="2:6" ht="14.25">
      <c r="B13" s="50" t="s">
        <v>92</v>
      </c>
      <c r="C13" s="50" t="s">
        <v>106</v>
      </c>
      <c r="F13" s="101"/>
    </row>
    <row r="14" spans="2:6" ht="14.25">
      <c r="B14" s="4" t="s">
        <v>90</v>
      </c>
      <c r="C14" s="31">
        <f>13500</f>
        <v>13500</v>
      </c>
      <c r="F14" s="101"/>
    </row>
    <row r="15" spans="2:6" ht="14.25">
      <c r="B15" s="4" t="s">
        <v>91</v>
      </c>
      <c r="C15" s="31">
        <v>5000</v>
      </c>
      <c r="F15" s="101"/>
    </row>
    <row r="16" spans="2:6" ht="14.25">
      <c r="B16" s="4" t="s">
        <v>96</v>
      </c>
      <c r="C16" s="31">
        <v>10000</v>
      </c>
      <c r="F16" s="101"/>
    </row>
    <row r="17" spans="2:6" ht="14.25">
      <c r="B17" s="4" t="s">
        <v>99</v>
      </c>
      <c r="C17" s="31">
        <v>20000</v>
      </c>
      <c r="F17" s="101"/>
    </row>
    <row r="18" spans="2:6" ht="14.25">
      <c r="B18" s="4" t="s">
        <v>97</v>
      </c>
      <c r="C18" s="31">
        <v>35000</v>
      </c>
      <c r="F18" s="101"/>
    </row>
    <row r="19" spans="2:3" ht="14.25">
      <c r="B19" s="4" t="s">
        <v>98</v>
      </c>
      <c r="C19" s="31">
        <v>10000</v>
      </c>
    </row>
    <row r="20" ht="14.25">
      <c r="F20" s="104" t="s">
        <v>148</v>
      </c>
    </row>
    <row r="21" spans="2:6" ht="16.5" customHeight="1">
      <c r="B21" s="99" t="s">
        <v>61</v>
      </c>
      <c r="C21" s="99"/>
      <c r="F21" s="104"/>
    </row>
    <row r="22" spans="2:6" ht="14.25">
      <c r="B22" s="50" t="s">
        <v>92</v>
      </c>
      <c r="C22" s="50" t="s">
        <v>106</v>
      </c>
      <c r="F22" s="104"/>
    </row>
    <row r="23" spans="2:6" ht="14.25">
      <c r="B23" s="4" t="s">
        <v>143</v>
      </c>
      <c r="C23" s="31">
        <v>2000</v>
      </c>
      <c r="F23" s="104"/>
    </row>
    <row r="24" spans="2:6" ht="14.25">
      <c r="B24" s="4" t="s">
        <v>144</v>
      </c>
      <c r="C24" s="31">
        <v>800</v>
      </c>
      <c r="F24" s="104"/>
    </row>
    <row r="25" spans="2:6" ht="14.25">
      <c r="B25" s="4" t="s">
        <v>133</v>
      </c>
      <c r="C25" s="31">
        <v>10000</v>
      </c>
      <c r="F25" s="104"/>
    </row>
    <row r="26" spans="2:3" ht="14.25">
      <c r="B26" s="4" t="s">
        <v>98</v>
      </c>
      <c r="C26" s="31">
        <v>4200</v>
      </c>
    </row>
    <row r="27" ht="14.25">
      <c r="F27" s="103" t="s">
        <v>149</v>
      </c>
    </row>
    <row r="28" spans="2:6" ht="16.5" customHeight="1">
      <c r="B28" s="99" t="s">
        <v>62</v>
      </c>
      <c r="C28" s="99"/>
      <c r="F28" s="103"/>
    </row>
    <row r="29" spans="2:6" ht="14.25">
      <c r="B29" s="50" t="s">
        <v>92</v>
      </c>
      <c r="C29" s="50" t="s">
        <v>106</v>
      </c>
      <c r="F29" s="103"/>
    </row>
    <row r="30" spans="2:6" ht="14.25">
      <c r="B30" s="4" t="s">
        <v>140</v>
      </c>
      <c r="C30" s="31">
        <v>5000</v>
      </c>
      <c r="F30" s="103"/>
    </row>
    <row r="31" spans="2:6" ht="14.25">
      <c r="B31" s="4" t="s">
        <v>133</v>
      </c>
      <c r="C31" s="31">
        <v>10000</v>
      </c>
      <c r="F31" s="103"/>
    </row>
    <row r="32" spans="2:6" ht="14.25">
      <c r="B32" s="4" t="s">
        <v>111</v>
      </c>
      <c r="C32" s="31">
        <v>85000</v>
      </c>
      <c r="F32" s="57"/>
    </row>
    <row r="34" spans="2:3" ht="14.25">
      <c r="B34" s="99" t="s">
        <v>63</v>
      </c>
      <c r="C34" s="99"/>
    </row>
    <row r="35" spans="2:6" ht="14.25">
      <c r="B35" s="50" t="s">
        <v>92</v>
      </c>
      <c r="C35" s="50" t="s">
        <v>106</v>
      </c>
      <c r="F35" s="4" t="s">
        <v>159</v>
      </c>
    </row>
    <row r="36" spans="2:6" ht="14.25">
      <c r="B36" s="4" t="s">
        <v>133</v>
      </c>
      <c r="C36" s="31">
        <v>10000</v>
      </c>
      <c r="F36" s="4" t="s">
        <v>154</v>
      </c>
    </row>
    <row r="37" spans="2:6" ht="14.25">
      <c r="B37" s="4" t="s">
        <v>153</v>
      </c>
      <c r="C37" s="31">
        <v>15000</v>
      </c>
      <c r="F37" s="4" t="s">
        <v>162</v>
      </c>
    </row>
    <row r="38" spans="2:6" ht="100.5" customHeight="1">
      <c r="B38" s="4" t="s">
        <v>163</v>
      </c>
      <c r="C38" s="31">
        <v>75000</v>
      </c>
      <c r="F38" s="102" t="s">
        <v>157</v>
      </c>
    </row>
    <row r="39" spans="2:6" ht="14.25">
      <c r="B39" s="4" t="s">
        <v>160</v>
      </c>
      <c r="C39" s="31">
        <v>350</v>
      </c>
      <c r="F39" s="102"/>
    </row>
    <row r="40" spans="2:6" ht="28.5">
      <c r="B40" s="4" t="s">
        <v>158</v>
      </c>
      <c r="C40" s="31">
        <v>3750</v>
      </c>
      <c r="F40" s="55" t="s">
        <v>164</v>
      </c>
    </row>
    <row r="41" spans="2:3" ht="14.25">
      <c r="B41" s="4" t="s">
        <v>165</v>
      </c>
      <c r="C41" s="31">
        <v>10000</v>
      </c>
    </row>
    <row r="42" ht="14.25">
      <c r="F42" s="103" t="s">
        <v>173</v>
      </c>
    </row>
    <row r="43" spans="2:6" ht="14.25">
      <c r="B43" s="99" t="s">
        <v>64</v>
      </c>
      <c r="C43" s="99"/>
      <c r="F43" s="103"/>
    </row>
    <row r="44" spans="2:6" ht="14.25">
      <c r="B44" s="50" t="s">
        <v>92</v>
      </c>
      <c r="C44" s="50" t="s">
        <v>106</v>
      </c>
      <c r="F44" s="103"/>
    </row>
    <row r="45" spans="2:6" ht="14.25">
      <c r="B45" s="4" t="s">
        <v>172</v>
      </c>
      <c r="C45" s="31">
        <v>300000</v>
      </c>
      <c r="F45" s="103"/>
    </row>
    <row r="46" spans="2:6" ht="14.25">
      <c r="B46" s="4" t="s">
        <v>167</v>
      </c>
      <c r="C46" s="31">
        <v>1000000</v>
      </c>
      <c r="F46" s="103"/>
    </row>
    <row r="47" ht="14.25">
      <c r="F47" s="103"/>
    </row>
    <row r="50" spans="2:3" ht="14.25">
      <c r="B50" s="99" t="s">
        <v>174</v>
      </c>
      <c r="C50" s="99"/>
    </row>
    <row r="51" spans="2:6" ht="14.25">
      <c r="B51" s="50" t="s">
        <v>92</v>
      </c>
      <c r="C51" s="50" t="s">
        <v>106</v>
      </c>
      <c r="F51" s="4" t="s">
        <v>202</v>
      </c>
    </row>
    <row r="52" spans="2:3" ht="14.25">
      <c r="B52" s="4" t="s">
        <v>175</v>
      </c>
      <c r="C52" s="31">
        <v>900000</v>
      </c>
    </row>
    <row r="53" spans="2:3" ht="14.25">
      <c r="B53" s="4" t="s">
        <v>167</v>
      </c>
      <c r="C53" s="31">
        <v>1000000</v>
      </c>
    </row>
    <row r="54" spans="2:3" ht="14.25">
      <c r="B54" s="4" t="s">
        <v>133</v>
      </c>
      <c r="C54" s="31">
        <v>10000</v>
      </c>
    </row>
  </sheetData>
  <sheetProtection sheet="1" objects="1" scenarios="1" selectLockedCells="1" selectUnlockedCells="1"/>
  <mergeCells count="13">
    <mergeCell ref="B43:C43"/>
    <mergeCell ref="F42:F47"/>
    <mergeCell ref="B50:C50"/>
    <mergeCell ref="B21:C21"/>
    <mergeCell ref="B28:C28"/>
    <mergeCell ref="B34:C34"/>
    <mergeCell ref="F20:F25"/>
    <mergeCell ref="F27:F31"/>
    <mergeCell ref="B12:C12"/>
    <mergeCell ref="B2:C2"/>
    <mergeCell ref="F2:F9"/>
    <mergeCell ref="F11:F18"/>
    <mergeCell ref="F38:F3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1969B"/>
  </sheetPr>
  <dimension ref="B2:C19"/>
  <sheetViews>
    <sheetView zoomScalePageLayoutView="0" workbookViewId="0" topLeftCell="A1">
      <selection activeCell="C25" sqref="C25"/>
    </sheetView>
  </sheetViews>
  <sheetFormatPr defaultColWidth="8.8515625" defaultRowHeight="15"/>
  <cols>
    <col min="1" max="1" width="8.8515625" style="4" customWidth="1"/>
    <col min="2" max="2" width="9.421875" style="4" customWidth="1"/>
    <col min="3" max="3" width="33.421875" style="4" bestFit="1" customWidth="1"/>
    <col min="4" max="16384" width="8.8515625" style="4" customWidth="1"/>
  </cols>
  <sheetData>
    <row r="2" spans="2:3" ht="14.25">
      <c r="B2" s="15" t="s">
        <v>81</v>
      </c>
      <c r="C2" s="15" t="s">
        <v>82</v>
      </c>
    </row>
    <row r="3" spans="2:3" ht="14.25">
      <c r="B3" s="35" t="s">
        <v>83</v>
      </c>
      <c r="C3" s="35" t="s">
        <v>84</v>
      </c>
    </row>
    <row r="4" spans="2:3" ht="14.25">
      <c r="B4" s="35" t="s">
        <v>86</v>
      </c>
      <c r="C4" s="35" t="s">
        <v>85</v>
      </c>
    </row>
    <row r="8" spans="2:3" ht="14.25">
      <c r="B8" s="8" t="s">
        <v>81</v>
      </c>
      <c r="C8" s="8" t="s">
        <v>112</v>
      </c>
    </row>
    <row r="9" spans="2:3" ht="14.25">
      <c r="B9" s="4" t="s">
        <v>83</v>
      </c>
      <c r="C9" s="4" t="s">
        <v>113</v>
      </c>
    </row>
    <row r="10" spans="2:3" ht="14.25">
      <c r="B10" s="4" t="s">
        <v>86</v>
      </c>
      <c r="C10" s="4" t="s">
        <v>114</v>
      </c>
    </row>
    <row r="11" spans="2:3" ht="14.25">
      <c r="B11" s="4" t="s">
        <v>124</v>
      </c>
      <c r="C11" s="4" t="s">
        <v>115</v>
      </c>
    </row>
    <row r="12" spans="2:3" ht="14.25">
      <c r="B12" s="4" t="s">
        <v>125</v>
      </c>
      <c r="C12" s="4" t="s">
        <v>116</v>
      </c>
    </row>
    <row r="13" spans="2:3" ht="14.25">
      <c r="B13" s="4" t="s">
        <v>126</v>
      </c>
      <c r="C13" s="4" t="s">
        <v>117</v>
      </c>
    </row>
    <row r="14" spans="2:3" ht="14.25">
      <c r="B14" s="4" t="s">
        <v>127</v>
      </c>
      <c r="C14" s="4" t="s">
        <v>118</v>
      </c>
    </row>
    <row r="15" spans="2:3" ht="14.25">
      <c r="B15" s="4" t="s">
        <v>128</v>
      </c>
      <c r="C15" s="4" t="s">
        <v>119</v>
      </c>
    </row>
    <row r="16" spans="2:3" ht="14.25">
      <c r="B16" s="4" t="s">
        <v>129</v>
      </c>
      <c r="C16" s="4" t="s">
        <v>120</v>
      </c>
    </row>
    <row r="17" spans="2:3" ht="14.25">
      <c r="B17" s="4" t="s">
        <v>130</v>
      </c>
      <c r="C17" s="4" t="s">
        <v>121</v>
      </c>
    </row>
    <row r="18" spans="2:3" ht="14.25">
      <c r="B18" s="4" t="s">
        <v>131</v>
      </c>
      <c r="C18" s="4" t="s">
        <v>122</v>
      </c>
    </row>
    <row r="19" spans="2:3" ht="14.25">
      <c r="B19" s="4" t="s">
        <v>132</v>
      </c>
      <c r="C19" s="4" t="s">
        <v>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Department of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Dayhoff</dc:creator>
  <cp:keywords/>
  <dc:description/>
  <cp:lastModifiedBy>Justin Dayhoff</cp:lastModifiedBy>
  <cp:lastPrinted>2022-01-14T15:29:56Z</cp:lastPrinted>
  <dcterms:created xsi:type="dcterms:W3CDTF">2022-01-07T05:30:45Z</dcterms:created>
  <dcterms:modified xsi:type="dcterms:W3CDTF">2022-03-04T14:27:48Z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PublishingPageConte">
    <vt:lpwstr/>
  </property>
  <property fmtid="{D5CDD505-2E9C-101B-9397-08002B2CF9AE}" pid="5" name="SeoBrowserTit">
    <vt:lpwstr/>
  </property>
  <property fmtid="{D5CDD505-2E9C-101B-9397-08002B2CF9AE}" pid="6" name="SeoKeywor">
    <vt:lpwstr/>
  </property>
  <property fmtid="{D5CDD505-2E9C-101B-9397-08002B2CF9AE}" pid="7" name="Left_Conte">
    <vt:lpwstr/>
  </property>
  <property fmtid="{D5CDD505-2E9C-101B-9397-08002B2CF9AE}" pid="8" name="Right_Conte">
    <vt:lpwstr/>
  </property>
  <property fmtid="{D5CDD505-2E9C-101B-9397-08002B2CF9AE}" pid="9" name="Lt_bottom_Conte">
    <vt:lpwstr/>
  </property>
  <property fmtid="{D5CDD505-2E9C-101B-9397-08002B2CF9AE}" pid="10" name="Top_Left_Conte">
    <vt:lpwstr/>
  </property>
  <property fmtid="{D5CDD505-2E9C-101B-9397-08002B2CF9AE}" pid="11" name="Ord">
    <vt:lpwstr>632400.000000000</vt:lpwstr>
  </property>
  <property fmtid="{D5CDD505-2E9C-101B-9397-08002B2CF9AE}" pid="12" name="PublishingRollupIma">
    <vt:lpwstr/>
  </property>
  <property fmtid="{D5CDD505-2E9C-101B-9397-08002B2CF9AE}" pid="13" name="ArticleStartDa">
    <vt:lpwstr/>
  </property>
  <property fmtid="{D5CDD505-2E9C-101B-9397-08002B2CF9AE}" pid="14" name="Rt_Inner_Conte">
    <vt:lpwstr/>
  </property>
  <property fmtid="{D5CDD505-2E9C-101B-9397-08002B2CF9AE}" pid="15" name="TemplateU">
    <vt:lpwstr/>
  </property>
  <property fmtid="{D5CDD505-2E9C-101B-9397-08002B2CF9AE}" pid="16" name="Audien">
    <vt:lpwstr/>
  </property>
  <property fmtid="{D5CDD505-2E9C-101B-9397-08002B2CF9AE}" pid="17" name="Rt_Center_Conte">
    <vt:lpwstr/>
  </property>
  <property fmtid="{D5CDD505-2E9C-101B-9397-08002B2CF9AE}" pid="18" name="ArticleByLi">
    <vt:lpwstr/>
  </property>
  <property fmtid="{D5CDD505-2E9C-101B-9397-08002B2CF9AE}" pid="19" name="PublishingImageCapti">
    <vt:lpwstr/>
  </property>
  <property fmtid="{D5CDD505-2E9C-101B-9397-08002B2CF9AE}" pid="20" name="PublishingContactEma">
    <vt:lpwstr/>
  </property>
  <property fmtid="{D5CDD505-2E9C-101B-9397-08002B2CF9AE}" pid="21" name="PageKeywor">
    <vt:lpwstr/>
  </property>
  <property fmtid="{D5CDD505-2E9C-101B-9397-08002B2CF9AE}" pid="22" name="xd_Signatu">
    <vt:lpwstr/>
  </property>
  <property fmtid="{D5CDD505-2E9C-101B-9397-08002B2CF9AE}" pid="23" name="PublishingIsFurlPa">
    <vt:lpwstr/>
  </property>
  <property fmtid="{D5CDD505-2E9C-101B-9397-08002B2CF9AE}" pid="24" name="PublishingPageIma">
    <vt:lpwstr/>
  </property>
  <property fmtid="{D5CDD505-2E9C-101B-9397-08002B2CF9AE}" pid="25" name="SummaryLin">
    <vt:lpwstr/>
  </property>
  <property fmtid="{D5CDD505-2E9C-101B-9397-08002B2CF9AE}" pid="26" name="xd_Prog">
    <vt:lpwstr/>
  </property>
  <property fmtid="{D5CDD505-2E9C-101B-9397-08002B2CF9AE}" pid="27" name="PublishingStartDa">
    <vt:lpwstr/>
  </property>
  <property fmtid="{D5CDD505-2E9C-101B-9397-08002B2CF9AE}" pid="28" name="PublishingExpirationDa">
    <vt:lpwstr/>
  </property>
  <property fmtid="{D5CDD505-2E9C-101B-9397-08002B2CF9AE}" pid="29" name="PublishingContactPictu">
    <vt:lpwstr/>
  </property>
  <property fmtid="{D5CDD505-2E9C-101B-9397-08002B2CF9AE}" pid="30" name="PublishingVariationGroup">
    <vt:lpwstr/>
  </property>
  <property fmtid="{D5CDD505-2E9C-101B-9397-08002B2CF9AE}" pid="31" name="RobotsNoInd">
    <vt:lpwstr/>
  </property>
  <property fmtid="{D5CDD505-2E9C-101B-9397-08002B2CF9AE}" pid="32" name="Center_Conte">
    <vt:lpwstr/>
  </property>
  <property fmtid="{D5CDD505-2E9C-101B-9397-08002B2CF9AE}" pid="33" name="Rt_bottom_Conte">
    <vt:lpwstr/>
  </property>
  <property fmtid="{D5CDD505-2E9C-101B-9397-08002B2CF9AE}" pid="34" name="PageDescripti">
    <vt:lpwstr/>
  </property>
  <property fmtid="{D5CDD505-2E9C-101B-9397-08002B2CF9AE}" pid="35" name="SeoMetaDescripti">
    <vt:lpwstr/>
  </property>
  <property fmtid="{D5CDD505-2E9C-101B-9397-08002B2CF9AE}" pid="36" name="PublishingContactNa">
    <vt:lpwstr/>
  </property>
  <property fmtid="{D5CDD505-2E9C-101B-9397-08002B2CF9AE}" pid="37" name="PublishingVariationRelationshipLinkField">
    <vt:lpwstr/>
  </property>
  <property fmtid="{D5CDD505-2E9C-101B-9397-08002B2CF9AE}" pid="38" name="_SourceU">
    <vt:lpwstr/>
  </property>
  <property fmtid="{D5CDD505-2E9C-101B-9397-08002B2CF9AE}" pid="39" name="_SharedFileInd">
    <vt:lpwstr/>
  </property>
  <property fmtid="{D5CDD505-2E9C-101B-9397-08002B2CF9AE}" pid="40" name="Commen">
    <vt:lpwstr/>
  </property>
  <property fmtid="{D5CDD505-2E9C-101B-9397-08002B2CF9AE}" pid="41" name="PublishingPageLayo">
    <vt:lpwstr/>
  </property>
  <property fmtid="{D5CDD505-2E9C-101B-9397-08002B2CF9AE}" pid="42" name="Lt_Inner_Conte">
    <vt:lpwstr/>
  </property>
  <property fmtid="{D5CDD505-2E9C-101B-9397-08002B2CF9AE}" pid="43" name="HeaderStyleDefinitio">
    <vt:lpwstr/>
  </property>
  <property fmtid="{D5CDD505-2E9C-101B-9397-08002B2CF9AE}" pid="44" name="Main_Conte">
    <vt:lpwstr/>
  </property>
  <property fmtid="{D5CDD505-2E9C-101B-9397-08002B2CF9AE}" pid="45" name="PageHeadli">
    <vt:lpwstr/>
  </property>
</Properties>
</file>