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165" windowWidth="12120" windowHeight="9090" tabRatio="865" firstSheet="5" activeTab="18"/>
  </bookViews>
  <sheets>
    <sheet name="table 1" sheetId="1" r:id="rId1"/>
    <sheet name="table 2a" sheetId="2" r:id="rId2"/>
    <sheet name="table3" sheetId="3" r:id="rId3"/>
    <sheet name="table4" sheetId="4" r:id="rId4"/>
    <sheet name="table5" sheetId="5" r:id="rId5"/>
    <sheet name="table 6" sheetId="6" r:id="rId6"/>
    <sheet name="state1" sheetId="7" r:id="rId7"/>
    <sheet name="state2" sheetId="8" r:id="rId8"/>
    <sheet name="state3" sheetId="9" r:id="rId9"/>
    <sheet name="state4" sheetId="10" r:id="rId10"/>
    <sheet name="state5" sheetId="11" r:id="rId11"/>
    <sheet name="fed1" sheetId="12" r:id="rId12"/>
    <sheet name="fed2" sheetId="13" r:id="rId13"/>
    <sheet name="fed3" sheetId="14" r:id="rId14"/>
    <sheet name="fed4" sheetId="15" r:id="rId15"/>
    <sheet name="fed5" sheetId="16" r:id="rId16"/>
    <sheet name="table9" sheetId="17" r:id="rId17"/>
    <sheet name="table 10" sheetId="18" r:id="rId18"/>
    <sheet name="table11" sheetId="19" r:id="rId19"/>
    <sheet name="table12" sheetId="20" r:id="rId20"/>
  </sheets>
  <definedNames>
    <definedName name="_xlnm.Print_Area" localSheetId="6">'state1'!$A$1:$H$40</definedName>
    <definedName name="_xlnm.Print_Area" localSheetId="10">'state5'!$A$1:$J$39</definedName>
    <definedName name="_xlnm.Print_Area" localSheetId="0">'table 1'!$A$1:$L$40</definedName>
    <definedName name="_xlnm.Print_Area" localSheetId="5">'table 6'!$A$1:$P$43</definedName>
    <definedName name="_xlnm.Print_Area" localSheetId="18">'table11'!$A$1:$F$45</definedName>
    <definedName name="_xlnm.Print_Area" localSheetId="2">'table3'!$A$1:$L$42</definedName>
    <definedName name="_xlnm.Print_Area" localSheetId="3">'table4'!$A$1:$K$39</definedName>
  </definedNames>
  <calcPr fullCalcOnLoad="1"/>
</workbook>
</file>

<file path=xl/sharedStrings.xml><?xml version="1.0" encoding="utf-8"?>
<sst xmlns="http://schemas.openxmlformats.org/spreadsheetml/2006/main" count="970" uniqueCount="301">
  <si>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</si>
  <si>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</si>
  <si>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</si>
  <si>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</si>
  <si>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</si>
  <si>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</si>
  <si>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</si>
  <si>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</si>
  <si>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</si>
  <si>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</si>
  <si>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</si>
  <si>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</si>
  <si>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</si>
  <si>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</si>
  <si>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</si>
  <si>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</si>
  <si>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</si>
  <si>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</si>
  <si>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</si>
  <si>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</si>
  <si>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</si>
  <si>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</si>
  <si>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</si>
  <si>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</si>
  <si>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</si>
  <si>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</si>
  <si>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</si>
  <si>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</si>
  <si>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Abuse</t>
  </si>
  <si>
    <t>Nonpublic</t>
  </si>
  <si>
    <t>Placements</t>
  </si>
  <si>
    <t>Handicapped Children</t>
  </si>
  <si>
    <t>Gifted</t>
  </si>
  <si>
    <t>and</t>
  </si>
  <si>
    <t>Talented</t>
  </si>
  <si>
    <t>Education</t>
  </si>
  <si>
    <t>School</t>
  </si>
  <si>
    <t>Community</t>
  </si>
  <si>
    <t>Extended</t>
  </si>
  <si>
    <t>Elementary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</si>
  <si>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</si>
  <si>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</si>
  <si>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</si>
  <si>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</si>
  <si>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</si>
  <si>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</si>
  <si>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</si>
  <si>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</si>
  <si>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</si>
  <si>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</si>
  <si>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</si>
  <si>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</si>
  <si>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</si>
  <si>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</si>
  <si>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</si>
  <si>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</si>
  <si>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</si>
  <si>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</si>
  <si>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</si>
  <si>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</si>
  <si>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</si>
  <si>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Title 1</t>
  </si>
  <si>
    <t>Concentration</t>
  </si>
  <si>
    <t>Expenses</t>
  </si>
  <si>
    <t>Even</t>
  </si>
  <si>
    <t>Start</t>
  </si>
  <si>
    <t>Program</t>
  </si>
  <si>
    <t>Basic and</t>
  </si>
  <si>
    <t>Grants</t>
  </si>
  <si>
    <t>Innovative</t>
  </si>
  <si>
    <t>Educational</t>
  </si>
  <si>
    <t>Strategies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</si>
  <si>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</si>
  <si>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</si>
  <si>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</si>
  <si>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</si>
  <si>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</si>
  <si>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</si>
  <si>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</si>
  <si>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</si>
  <si>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</si>
  <si>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</si>
  <si>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</si>
  <si>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</si>
  <si>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</si>
  <si>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</si>
  <si>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</si>
  <si>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</si>
  <si>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</si>
  <si>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</si>
  <si>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</si>
  <si>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</si>
  <si>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</si>
  <si>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</si>
  <si>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</si>
  <si>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</si>
  <si>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</si>
  <si>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</si>
  <si>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</si>
  <si>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</si>
  <si>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</si>
  <si>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</si>
  <si>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</si>
  <si>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</si>
  <si>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</si>
  <si>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</si>
  <si>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</si>
  <si>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</si>
  <si>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</si>
  <si>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</si>
  <si>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</si>
  <si>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</si>
  <si>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</si>
  <si>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</si>
  <si>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</si>
  <si>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</si>
  <si>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Local Appropriations for Public Schools as a Percent of Assessed Valuation, Net Taxable Income and Total Wealth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</si>
  <si>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</si>
  <si>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</si>
  <si>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</si>
  <si>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</si>
  <si>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</si>
  <si>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</si>
  <si>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 xml:space="preserve">* Included are taxable income, real and public utility property assessments for state purposes, and 50% of personal property assessments for county purposes; public </t>
  </si>
  <si>
    <t xml:space="preserve">  utility shares and one-half semi-annual are excluded.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</si>
  <si>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</si>
  <si>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</si>
  <si>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</si>
  <si>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</si>
  <si>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</si>
  <si>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</si>
  <si>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</si>
  <si>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</si>
  <si>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Innovative Programs</t>
  </si>
  <si>
    <t>Schools</t>
  </si>
  <si>
    <t>Adult Education</t>
  </si>
  <si>
    <t>External</t>
  </si>
  <si>
    <t>Diploma</t>
  </si>
  <si>
    <t>Works</t>
  </si>
  <si>
    <t>Science/</t>
  </si>
  <si>
    <t>Partnership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</si>
  <si>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</si>
  <si>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</si>
  <si>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</si>
  <si>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</si>
  <si>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</si>
  <si>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</si>
  <si>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Title II - </t>
  </si>
  <si>
    <t xml:space="preserve">Indian </t>
  </si>
  <si>
    <t>Improvement</t>
  </si>
  <si>
    <t>Title II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</si>
  <si>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</si>
  <si>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</si>
  <si>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</si>
  <si>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</si>
  <si>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</si>
  <si>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</si>
  <si>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</si>
  <si>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</si>
  <si>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Job Training</t>
  </si>
  <si>
    <t>State Grant</t>
  </si>
  <si>
    <t>Neglected</t>
  </si>
  <si>
    <t>Delinquent</t>
  </si>
  <si>
    <t>Non-Revenue</t>
  </si>
  <si>
    <t>Out of County</t>
  </si>
  <si>
    <t>Living - Foster</t>
  </si>
  <si>
    <t>Student Transportation</t>
  </si>
  <si>
    <t>Other State Revenue</t>
  </si>
  <si>
    <t>Comp Sch Reform Demo</t>
  </si>
  <si>
    <t>Combined Grants</t>
  </si>
  <si>
    <t>LEA School System Support</t>
  </si>
  <si>
    <t>Higher Education Act - Advanced Placement Fees</t>
  </si>
  <si>
    <t>Cigarette</t>
  </si>
  <si>
    <t>Restitution</t>
  </si>
  <si>
    <t>Gaining</t>
  </si>
  <si>
    <t>Early</t>
  </si>
  <si>
    <t>Awareness</t>
  </si>
  <si>
    <t xml:space="preserve">and </t>
  </si>
  <si>
    <t>Readiness</t>
  </si>
  <si>
    <t>Character</t>
  </si>
  <si>
    <t>Sexual</t>
  </si>
  <si>
    <t xml:space="preserve">State Share of Teachers' Retirement </t>
  </si>
  <si>
    <t>Limited English Proficient</t>
  </si>
  <si>
    <t>Regular Transportation</t>
  </si>
  <si>
    <t>Transportation of Students with Disibilities</t>
  </si>
  <si>
    <t>DHMH-Tobacco Prevention</t>
  </si>
  <si>
    <t>Continuing Education</t>
  </si>
  <si>
    <t>Local      Education Agency</t>
  </si>
  <si>
    <t>Teacher Stipends &amp; Bonuses</t>
  </si>
  <si>
    <t>Reconsitution</t>
  </si>
  <si>
    <t>Hoyer Funds II</t>
  </si>
  <si>
    <t>Hoyer General Funds</t>
  </si>
  <si>
    <t>Hoyer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</si>
  <si>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</si>
  <si>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</si>
  <si>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</si>
  <si>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</si>
  <si>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</si>
  <si>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</si>
  <si>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</si>
  <si>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</si>
  <si>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</si>
  <si>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</si>
  <si>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</si>
  <si>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</si>
  <si>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</si>
  <si>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</si>
  <si>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Fine Arts Initiative</t>
  </si>
  <si>
    <t>Schools for Success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</si>
  <si>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</si>
  <si>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</si>
  <si>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</si>
  <si>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</si>
  <si>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</si>
  <si>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</si>
  <si>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</si>
  <si>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National Science Foundation Grants</t>
  </si>
  <si>
    <t>Revenue from All Sources for Current Expenses*:   Maryland Public Schools:  2006 - 2007</t>
  </si>
  <si>
    <t>Other Earnings on Investment</t>
  </si>
  <si>
    <t>Revenue from All Sources* for Maryland Public Schools:  2006-2007</t>
  </si>
  <si>
    <t>Revenue from All Sources for School Construction:  Maryland Public Schools:  2006 - 2007</t>
  </si>
  <si>
    <t>Revenue from All Sources for Debt Service*:  Maryland Public Schools:  2006 - 2007</t>
  </si>
  <si>
    <t>Revenue from All Sources for Food Service Operations:  Maryland Public Schools:  2006 - 2007</t>
  </si>
  <si>
    <t>Revenue from the State for Maryland Public School Purposes: 2006 - 2007</t>
  </si>
  <si>
    <t>Revenue from the State for Maryland Public School Purposes:  2006 - 2007</t>
  </si>
  <si>
    <t>Guaranteed</t>
  </si>
  <si>
    <t>Tax</t>
  </si>
  <si>
    <t>Base</t>
  </si>
  <si>
    <t>Unrestricted and Impact Aid Funds</t>
  </si>
  <si>
    <t>Revenue from the Federal Government for Maryland Public Schools:  2006 - 2007</t>
  </si>
  <si>
    <t xml:space="preserve">Charter </t>
  </si>
  <si>
    <t>Carl T. Perkins - Career and Technology</t>
  </si>
  <si>
    <t>Transition to</t>
  </si>
  <si>
    <t>Teaching</t>
  </si>
  <si>
    <t>Advance Placement Program</t>
  </si>
  <si>
    <t>Public Health Services Act</t>
  </si>
  <si>
    <t>AIDS</t>
  </si>
  <si>
    <t>Hurricane Education Recovery Act</t>
  </si>
  <si>
    <t>Web Enabled GED Services</t>
  </si>
  <si>
    <t>ROTC Program</t>
  </si>
  <si>
    <t>Social Security Act Medical Assistance</t>
  </si>
  <si>
    <t>Stewart B. McKinney Homeless Assistance</t>
  </si>
  <si>
    <t>Safe and Drug Free Communities</t>
  </si>
  <si>
    <t>Revenue from the Federal Government for Maryland Public Schools:  2006 -2007</t>
  </si>
  <si>
    <t>ESEA Title X - Javits Gifted and Talented</t>
  </si>
  <si>
    <t>Title X - Fund for Improvement of Education</t>
  </si>
  <si>
    <t>Revenue from the State for Maryland Public School Purposes:  2006 -2007</t>
  </si>
  <si>
    <t>Foundation Current Expense Formula Aid for Maryland Public Schools:  2006 - 2007</t>
  </si>
  <si>
    <t>State Compensatory Education Aid for Maryland Public Schools:  2006 - 2007</t>
  </si>
  <si>
    <t>Title V</t>
  </si>
  <si>
    <t xml:space="preserve">Titles VI </t>
  </si>
  <si>
    <t>Enrollment  09-30-2005</t>
  </si>
  <si>
    <t>Total Foundation Program (Enrollment X $5,959)</t>
  </si>
  <si>
    <t>Local Share         ( Local Wealth X .083657%)</t>
  </si>
  <si>
    <t>SOURCE:  MSDE final calculations for the Major State Aid Programs for Fiscal Year 2007</t>
  </si>
  <si>
    <t>Total Local Wealth *</t>
  </si>
  <si>
    <t>GCEI - Regional Difference</t>
  </si>
  <si>
    <t>10-31-2005 Eligible FARMS Students</t>
  </si>
  <si>
    <t>Students        X $2,659</t>
  </si>
  <si>
    <t>Grant Adjusted Calculation        @ .7753770</t>
  </si>
  <si>
    <t>(B) X 76%</t>
  </si>
  <si>
    <t>(D)</t>
  </si>
  <si>
    <t>Additional Grant to Adjusted Calculation</t>
  </si>
  <si>
    <t>Assessed Valuation per Pupil Belonging and per Capita:  State of Maryland:  2006 - 2007</t>
  </si>
  <si>
    <t xml:space="preserve">      Source: http:www.census.gov/popest/counties/tables/CO-EST2007-01-24.xls - Release Date: March 20, 2008.</t>
  </si>
  <si>
    <t>Appropriation**</t>
  </si>
  <si>
    <r>
      <t xml:space="preserve">*** </t>
    </r>
    <r>
      <rPr>
        <sz val="10"/>
        <rFont val="Arial"/>
        <family val="0"/>
      </rPr>
      <t>Includes the following:  tuition, transportation fees, transfers from school units in other states, and other miscellaneous revenue.</t>
    </r>
  </si>
  <si>
    <t>**  Excludes Baltimore City Public Schools  $7,767,742.06 appropriated within the Current Expenses Fund,but transferred to Debt Service Fund.</t>
  </si>
  <si>
    <r>
      <t>Other</t>
    </r>
    <r>
      <rPr>
        <b/>
        <sz val="10"/>
        <rFont val="Arial"/>
        <family val="2"/>
      </rPr>
      <t>***</t>
    </r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</si>
  <si>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</si>
  <si>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</si>
  <si>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</si>
  <si>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r>
      <t>Other</t>
    </r>
    <r>
      <rPr>
        <sz val="10"/>
        <rFont val="WP TypographicSymbols"/>
        <family val="0"/>
      </rPr>
      <t>***</t>
    </r>
  </si>
  <si>
    <t>**  Charles County Local Appropriation for Food Services Program ($218,397.50) is reclassified out of  Other Local Revenue to the total Local Appropriation column.</t>
  </si>
  <si>
    <t>*    Includes federal revenue and state revenue for food service operations; excludes sale of meals and value of USDA commodities.</t>
  </si>
  <si>
    <t>*** Includes the following:  tuition, transportation fees, transfers from school units in other states, and other miscellaneous revenue</t>
  </si>
  <si>
    <t>Other***</t>
  </si>
  <si>
    <t>revenue**</t>
  </si>
  <si>
    <t>Compensatory Education Formula</t>
  </si>
  <si>
    <t>Current Expense Fund (Continued)</t>
  </si>
  <si>
    <t>*Charles County Local Appropriation for Food Services Program ($218,397.50) is being included in Other Local Revenue</t>
  </si>
  <si>
    <t>Maryland Public Schools:  2006 - 2007</t>
  </si>
  <si>
    <t>*</t>
  </si>
  <si>
    <r>
      <t>*</t>
    </r>
    <r>
      <rPr>
        <sz val="10"/>
        <rFont val="Wingdings 2"/>
        <family val="1"/>
      </rPr>
      <t xml:space="preserve"> </t>
    </r>
    <r>
      <rPr>
        <sz val="10"/>
        <rFont val="Arial"/>
        <family val="0"/>
      </rPr>
      <t>Current Expense appropriation includes $218,397.50 in appropriations to food service fund in Charles County.</t>
    </r>
  </si>
  <si>
    <t>Other**</t>
  </si>
  <si>
    <t>Baltimore City***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</si>
  <si>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</si>
  <si>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</si>
  <si>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</si>
  <si>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 xml:space="preserve">***  Baltimore City Public Schools  appropriated $7,767,742.06  for debt servicing within the Current Expenses Fund; this amount is classified here as local appropriation. </t>
  </si>
  <si>
    <t>NOTE:  Audit adjustments are not included.</t>
  </si>
  <si>
    <t>SOURCE:  MSDE final calculations for the Major State Aid Programs for Fiscal Year 2007.</t>
  </si>
  <si>
    <r>
      <t>July 1, 2006 Population Estimates</t>
    </r>
    <r>
      <rPr>
        <sz val="10"/>
        <rFont val="Arial"/>
        <family val="2"/>
      </rPr>
      <t xml:space="preserve"> ***</t>
    </r>
  </si>
  <si>
    <r>
      <t>***</t>
    </r>
    <r>
      <rPr>
        <sz val="10"/>
        <rFont val="Wingdings"/>
        <family val="0"/>
      </rPr>
      <t xml:space="preserve"> </t>
    </r>
    <r>
      <rPr>
        <sz val="10"/>
        <rFont val="Arial"/>
        <family val="2"/>
      </rPr>
      <t>Excerpt from Table 1 Annual Estimates of the Population for Counties of Maryland: April 1, 2000 to July 1, 2007 (CO-EST2007-01-24).</t>
    </r>
  </si>
  <si>
    <t>Belonging**</t>
  </si>
  <si>
    <t>* Assessed</t>
  </si>
  <si>
    <t>**     Half-time kindergarten and prekindergarten pupils are expressed in full-time equivalents in arriving at per pupil costs.</t>
  </si>
  <si>
    <r>
      <t xml:space="preserve">* </t>
    </r>
    <r>
      <rPr>
        <sz val="10"/>
        <rFont val="Wingdings"/>
        <family val="0"/>
      </rPr>
      <t xml:space="preserve">  </t>
    </r>
    <r>
      <rPr>
        <sz val="10"/>
        <rFont val="Arial"/>
        <family val="2"/>
      </rPr>
      <t>Excerpt from Table III - County Assessable Base for the Tax year beginning July 1, 2006 -- Maryland State Department of Assessment</t>
    </r>
  </si>
  <si>
    <t xml:space="preserve">        and Taxation Annual Report 2006. Base Estimate date: November 30, 2006.</t>
  </si>
  <si>
    <t>Greater of (S1) or ( S2)</t>
  </si>
  <si>
    <t>Minimum State Share = Foundation Progam x .19           (S2)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</si>
</sst>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  <numFmt numFmtId="169" formatCode="&quot;$&quot;#,##0\ ;\(&quot;$&quot;#,##0\)"/>
    <numFmt numFmtId="170" formatCode="&quot;$&quot;#,##0.00\ ;\(&quot;$&quot;#,##0.00\)"/>
    <numFmt numFmtId="171" formatCode="#,##0.000"/>
    <numFmt numFmtId="172" formatCode="#,##0.0000"/>
    <numFmt numFmtId="173" formatCode="&quot;$&quot;#,##0.0\ ;\(&quot;$&quot;#,##0.0\)"/>
    <numFmt numFmtId="174" formatCode="_(* #,##0.0_);_(* \(#,##0.0\);_(* &quot;-&quot;?_);_(@_)"/>
    <numFmt numFmtId="175" formatCode="0.000%"/>
    <numFmt numFmtId="176" formatCode="0.0000%"/>
    <numFmt numFmtId="177" formatCode="0.00000%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??_);_(@_)"/>
    <numFmt numFmtId="188" formatCode="_(&quot;$&quot;* #,##0.000_);_(&quot;$&quot;* \(#,##0.000\);_(&quot;$&quot;* &quot;-&quot;??_);_(@_)"/>
    <numFmt numFmtId="189" formatCode="_(&quot;$&quot;* #,##0.0000_);_(&quot;$&quot;* \(#,##0.0000\);_(&quot;$&quot;* &quot;-&quot;??_);_(@_)"/>
    <numFmt numFmtId="190" formatCode="&quot;$&quot;#,##0"/>
    <numFmt numFmtId="191" formatCode="_(&quot;$&quot;* #,##0.0_);_(&quot;$&quot;* \(#,##0.0\);_(&quot;$&quot;* &quot;-&quot;_);_(@_)"/>
    <numFmt numFmtId="192" formatCode="_(&quot;$&quot;* #,##0.00_);_(&quot;$&quot;* \(#,##0.00\);_(&quot;$&quot;* &quot;-&quot;_);_(@_)"/>
    <numFmt numFmtId="193" formatCode="_(&quot;$&quot;* #,##0.000_);_(&quot;$&quot;* \(#,##0.000\);_(&quot;$&quot;* &quot;-&quot;_);_(@_)"/>
    <numFmt numFmtId="194" formatCode="m/d"/>
    <numFmt numFmtId="195" formatCode="mmmm\ d\,\ yyyy"/>
    <numFmt numFmtId="196" formatCode="_(* #,##0.0000_);_(* \(#,##0.0000\);_(* &quot;-&quot;??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.00000_);_(* \(#,##0.00000\);_(* &quot;-&quot;?????_);_(@_)"/>
    <numFmt numFmtId="201" formatCode="[$€-2]\ #,##0.00_);[Red]\([$€-2]\ #,##0.00\)"/>
  </numFmts>
  <fonts count="29">
    <font>
      <sz val="10"/>
      <name val="Arial"/>
      <family val="0"/>
    </font>
    <font>
      <sz val="10"/>
      <name val="Times New Roman"/>
      <family val="0"/>
    </font>
    <font>
      <b/>
      <sz val="26"/>
      <name val="Arial"/>
      <family val="2"/>
    </font>
    <font>
      <sz val="10"/>
      <name val="Wingdings"/>
      <family val="0"/>
    </font>
    <font>
      <sz val="10"/>
      <name val="WP TypographicSymbols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 2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167" fontId="0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43" fontId="0" fillId="0" borderId="0" xfId="42" applyFont="1" applyBorder="1" applyAlignment="1">
      <alignment/>
    </xf>
    <xf numFmtId="167" fontId="0" fillId="0" borderId="0" xfId="0" applyNumberFormat="1" applyBorder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44" applyNumberFormat="1" applyFont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Border="1" applyAlignment="1">
      <alignment wrapText="1"/>
    </xf>
    <xf numFmtId="167" fontId="0" fillId="0" borderId="0" xfId="44" applyNumberFormat="1" applyFont="1" applyBorder="1" applyAlignment="1">
      <alignment horizontal="left" indent="2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49" fontId="0" fillId="0" borderId="0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1" fontId="0" fillId="0" borderId="0" xfId="42" applyNumberFormat="1" applyFont="1" applyFill="1" applyAlignment="1">
      <alignment/>
    </xf>
    <xf numFmtId="44" fontId="0" fillId="0" borderId="0" xfId="0" applyNumberFormat="1" applyFont="1" applyFill="1" applyAlignment="1" applyProtection="1">
      <alignment/>
      <protection locked="0"/>
    </xf>
    <xf numFmtId="165" fontId="0" fillId="0" borderId="15" xfId="42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67" fontId="5" fillId="0" borderId="0" xfId="44" applyNumberFormat="1" applyFont="1" applyBorder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7" fontId="0" fillId="0" borderId="0" xfId="44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0" xfId="44" applyNumberFormat="1" applyFont="1" applyFill="1" applyBorder="1" applyAlignment="1">
      <alignment horizontal="center"/>
    </xf>
    <xf numFmtId="43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/>
    </xf>
    <xf numFmtId="43" fontId="0" fillId="0" borderId="10" xfId="42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 wrapText="1"/>
    </xf>
    <xf numFmtId="43" fontId="0" fillId="0" borderId="0" xfId="42" applyFont="1" applyFill="1" applyAlignment="1" applyProtection="1">
      <alignment/>
      <protection locked="0"/>
    </xf>
    <xf numFmtId="43" fontId="0" fillId="0" borderId="0" xfId="42" applyFont="1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165" fontId="0" fillId="0" borderId="0" xfId="42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41" fontId="0" fillId="0" borderId="0" xfId="42" applyNumberFormat="1" applyFont="1" applyFill="1" applyAlignment="1" applyProtection="1">
      <alignment/>
      <protection locked="0"/>
    </xf>
    <xf numFmtId="0" fontId="0" fillId="0" borderId="0" xfId="0" applyFont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0" fillId="0" borderId="0" xfId="42" applyNumberFormat="1" applyFont="1" applyBorder="1" applyAlignment="1" applyProtection="1">
      <alignment/>
      <protection locked="0"/>
    </xf>
    <xf numFmtId="165" fontId="0" fillId="0" borderId="0" xfId="42" applyNumberFormat="1" applyFont="1" applyAlignment="1" applyProtection="1">
      <alignment/>
      <protection locked="0"/>
    </xf>
    <xf numFmtId="165" fontId="0" fillId="0" borderId="13" xfId="42" applyNumberFormat="1" applyFont="1" applyBorder="1" applyAlignment="1">
      <alignment/>
    </xf>
    <xf numFmtId="165" fontId="0" fillId="0" borderId="13" xfId="42" applyNumberFormat="1" applyFont="1" applyBorder="1" applyAlignment="1" applyProtection="1">
      <alignment/>
      <protection locked="0"/>
    </xf>
    <xf numFmtId="42" fontId="0" fillId="0" borderId="0" xfId="44" applyNumberFormat="1" applyFont="1" applyBorder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5" fillId="0" borderId="0" xfId="42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5" fontId="7" fillId="0" borderId="0" xfId="42" applyNumberFormat="1" applyFont="1" applyAlignment="1" applyProtection="1">
      <alignment/>
      <protection locked="0"/>
    </xf>
    <xf numFmtId="165" fontId="0" fillId="0" borderId="0" xfId="42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165" fontId="7" fillId="0" borderId="13" xfId="42" applyNumberFormat="1" applyFont="1" applyBorder="1" applyAlignment="1">
      <alignment/>
    </xf>
    <xf numFmtId="165" fontId="7" fillId="0" borderId="0" xfId="42" applyNumberFormat="1" applyFont="1" applyFill="1" applyAlignment="1" applyProtection="1">
      <alignment/>
      <protection locked="0"/>
    </xf>
    <xf numFmtId="165" fontId="7" fillId="0" borderId="0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4" fontId="0" fillId="0" borderId="0" xfId="42" applyNumberFormat="1" applyFont="1" applyBorder="1" applyAlignment="1">
      <alignment horizontal="left" indent="2"/>
    </xf>
    <xf numFmtId="0" fontId="0" fillId="0" borderId="0" xfId="0" applyFont="1" applyFill="1" applyAlignment="1">
      <alignment/>
    </xf>
    <xf numFmtId="165" fontId="0" fillId="0" borderId="11" xfId="0" applyNumberFormat="1" applyBorder="1" applyAlignment="1">
      <alignment/>
    </xf>
    <xf numFmtId="165" fontId="0" fillId="0" borderId="11" xfId="42" applyNumberFormat="1" applyFont="1" applyBorder="1" applyAlignment="1">
      <alignment/>
    </xf>
    <xf numFmtId="165" fontId="7" fillId="0" borderId="0" xfId="42" applyNumberFormat="1" applyFont="1" applyFill="1" applyBorder="1" applyAlignment="1">
      <alignment/>
    </xf>
    <xf numFmtId="43" fontId="7" fillId="0" borderId="0" xfId="42" applyFont="1" applyFill="1" applyBorder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Alignment="1" applyProtection="1">
      <alignment/>
      <protection locked="0"/>
    </xf>
    <xf numFmtId="165" fontId="7" fillId="0" borderId="13" xfId="42" applyNumberFormat="1" applyFont="1" applyFill="1" applyBorder="1" applyAlignment="1">
      <alignment/>
    </xf>
    <xf numFmtId="165" fontId="7" fillId="0" borderId="0" xfId="42" applyNumberFormat="1" applyFont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67" fontId="0" fillId="0" borderId="0" xfId="44" applyNumberFormat="1" applyFont="1" applyAlignment="1">
      <alignment/>
    </xf>
    <xf numFmtId="167" fontId="0" fillId="0" borderId="0" xfId="4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44" fontId="0" fillId="0" borderId="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3" xfId="0" applyNumberFormat="1" applyFont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167" fontId="0" fillId="0" borderId="0" xfId="44" applyNumberFormat="1" applyFont="1" applyBorder="1" applyAlignment="1">
      <alignment horizontal="center"/>
    </xf>
    <xf numFmtId="10" fontId="0" fillId="0" borderId="0" xfId="59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3" xfId="42" applyNumberFormat="1" applyFont="1" applyBorder="1" applyAlignment="1">
      <alignment/>
    </xf>
    <xf numFmtId="43" fontId="0" fillId="0" borderId="13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2" fontId="0" fillId="0" borderId="0" xfId="44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center"/>
    </xf>
    <xf numFmtId="42" fontId="0" fillId="0" borderId="0" xfId="42" applyNumberFormat="1" applyFont="1" applyFill="1" applyAlignment="1">
      <alignment/>
    </xf>
    <xf numFmtId="42" fontId="0" fillId="0" borderId="0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42" fontId="0" fillId="0" borderId="0" xfId="44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Alignment="1" applyProtection="1">
      <alignment/>
      <protection locked="0"/>
    </xf>
    <xf numFmtId="0" fontId="0" fillId="0" borderId="16" xfId="0" applyBorder="1" applyAlignment="1">
      <alignment horizontal="center"/>
    </xf>
    <xf numFmtId="41" fontId="0" fillId="0" borderId="0" xfId="44" applyNumberFormat="1" applyFont="1" applyFill="1" applyAlignment="1" applyProtection="1">
      <alignment/>
      <protection locked="0"/>
    </xf>
    <xf numFmtId="165" fontId="0" fillId="0" borderId="13" xfId="42" applyNumberFormat="1" applyFont="1" applyFill="1" applyBorder="1" applyAlignment="1">
      <alignment/>
    </xf>
    <xf numFmtId="165" fontId="0" fillId="0" borderId="0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Fill="1" applyBorder="1" applyAlignment="1">
      <alignment/>
    </xf>
    <xf numFmtId="167" fontId="0" fillId="0" borderId="0" xfId="44" applyNumberFormat="1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13" xfId="42" applyNumberFormat="1" applyFont="1" applyFill="1" applyBorder="1" applyAlignment="1">
      <alignment/>
    </xf>
    <xf numFmtId="41" fontId="0" fillId="0" borderId="0" xfId="44" applyNumberFormat="1" applyFont="1" applyAlignment="1" applyProtection="1">
      <alignment/>
      <protection locked="0"/>
    </xf>
    <xf numFmtId="165" fontId="0" fillId="0" borderId="0" xfId="42" applyNumberFormat="1" applyFont="1" applyFill="1" applyAlignment="1" applyProtection="1">
      <alignment/>
      <protection locked="0"/>
    </xf>
    <xf numFmtId="42" fontId="0" fillId="0" borderId="0" xfId="44" applyNumberFormat="1" applyFont="1" applyBorder="1" applyAlignment="1">
      <alignment/>
    </xf>
    <xf numFmtId="165" fontId="0" fillId="0" borderId="0" xfId="42" applyNumberFormat="1" applyFont="1" applyAlignment="1">
      <alignment horizontal="right" vertical="top"/>
    </xf>
    <xf numFmtId="165" fontId="0" fillId="0" borderId="13" xfId="42" applyNumberFormat="1" applyFont="1" applyBorder="1" applyAlignment="1">
      <alignment horizontal="right" vertical="top"/>
    </xf>
    <xf numFmtId="43" fontId="0" fillId="0" borderId="0" xfId="42" applyFont="1" applyFill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 locked="0"/>
    </xf>
    <xf numFmtId="165" fontId="0" fillId="0" borderId="0" xfId="42" applyNumberFormat="1" applyFont="1" applyBorder="1" applyAlignment="1">
      <alignment horizontal="left"/>
    </xf>
    <xf numFmtId="165" fontId="0" fillId="0" borderId="0" xfId="42" applyNumberFormat="1" applyFont="1" applyAlignment="1" applyProtection="1">
      <alignment horizontal="left" indent="2"/>
      <protection locked="0"/>
    </xf>
    <xf numFmtId="167" fontId="0" fillId="0" borderId="0" xfId="44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 quotePrefix="1">
      <alignment/>
    </xf>
    <xf numFmtId="0" fontId="0" fillId="0" borderId="0" xfId="0" applyFont="1" applyFill="1" applyAlignment="1" quotePrefix="1">
      <alignment/>
    </xf>
    <xf numFmtId="165" fontId="0" fillId="0" borderId="0" xfId="42" applyNumberFormat="1" applyFont="1" applyFill="1" applyBorder="1" applyAlignment="1">
      <alignment horizontal="center"/>
    </xf>
    <xf numFmtId="43" fontId="0" fillId="0" borderId="0" xfId="42" applyNumberFormat="1" applyFont="1" applyFill="1" applyBorder="1" applyAlignment="1">
      <alignment/>
    </xf>
    <xf numFmtId="0" fontId="4" fillId="0" borderId="0" xfId="0" applyFont="1" applyFill="1" applyAlignment="1" quotePrefix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7" fontId="0" fillId="0" borderId="0" xfId="44" applyNumberFormat="1" applyFont="1" applyFill="1" applyBorder="1" applyAlignment="1">
      <alignment horizontal="center"/>
    </xf>
    <xf numFmtId="10" fontId="0" fillId="0" borderId="0" xfId="59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3" fontId="0" fillId="0" borderId="13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3" fontId="0" fillId="0" borderId="11" xfId="42" applyFont="1" applyFill="1" applyBorder="1" applyAlignment="1">
      <alignment horizontal="center"/>
    </xf>
    <xf numFmtId="167" fontId="0" fillId="0" borderId="0" xfId="44" applyNumberFormat="1" applyFont="1" applyFill="1" applyAlignment="1">
      <alignment horizontal="left" indent="2"/>
    </xf>
    <xf numFmtId="167" fontId="0" fillId="0" borderId="0" xfId="44" applyNumberFormat="1" applyFont="1" applyFill="1" applyBorder="1" applyAlignment="1">
      <alignment horizontal="right"/>
    </xf>
    <xf numFmtId="10" fontId="0" fillId="0" borderId="0" xfId="59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186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 quotePrefix="1">
      <alignment horizontal="right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3" fontId="0" fillId="0" borderId="13" xfId="42" applyFont="1" applyFill="1" applyBorder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43" fontId="0" fillId="0" borderId="0" xfId="42" applyFont="1" applyFill="1" applyAlignment="1">
      <alignment/>
    </xf>
    <xf numFmtId="42" fontId="0" fillId="0" borderId="0" xfId="0" applyNumberFormat="1" applyFont="1" applyFill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3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11" xfId="42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42" fontId="0" fillId="0" borderId="0" xfId="44" applyNumberFormat="1" applyFont="1" applyFill="1" applyBorder="1" applyAlignment="1">
      <alignment horizontal="right"/>
    </xf>
    <xf numFmtId="42" fontId="0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 applyProtection="1">
      <alignment/>
      <protection locked="0"/>
    </xf>
    <xf numFmtId="165" fontId="0" fillId="0" borderId="0" xfId="42" applyNumberFormat="1" applyFont="1" applyFill="1" applyAlignment="1" applyProtection="1">
      <alignment/>
      <protection locked="0"/>
    </xf>
    <xf numFmtId="43" fontId="0" fillId="0" borderId="0" xfId="42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1" fontId="0" fillId="0" borderId="0" xfId="42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42" fontId="0" fillId="0" borderId="0" xfId="0" applyNumberFormat="1" applyFont="1" applyFill="1" applyAlignment="1" applyProtection="1">
      <alignment/>
      <protection locked="0"/>
    </xf>
    <xf numFmtId="42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1" fontId="0" fillId="0" borderId="13" xfId="0" applyNumberFormat="1" applyFont="1" applyFill="1" applyBorder="1" applyAlignment="1" applyProtection="1">
      <alignment/>
      <protection locked="0"/>
    </xf>
    <xf numFmtId="43" fontId="0" fillId="0" borderId="13" xfId="42" applyFont="1" applyFill="1" applyBorder="1" applyAlignment="1" applyProtection="1">
      <alignment/>
      <protection locked="0"/>
    </xf>
    <xf numFmtId="167" fontId="0" fillId="0" borderId="0" xfId="44" applyNumberFormat="1" applyFont="1" applyFill="1" applyAlignment="1" applyProtection="1">
      <alignment/>
      <protection locked="0"/>
    </xf>
    <xf numFmtId="167" fontId="0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Alignment="1">
      <alignment horizontal="center"/>
    </xf>
    <xf numFmtId="42" fontId="0" fillId="0" borderId="0" xfId="44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167" fontId="0" fillId="0" borderId="0" xfId="44" applyNumberFormat="1" applyFont="1" applyFill="1" applyAlignment="1">
      <alignment horizontal="left" indent="2"/>
    </xf>
    <xf numFmtId="167" fontId="0" fillId="0" borderId="0" xfId="44" applyNumberFormat="1" applyFont="1" applyFill="1" applyAlignment="1">
      <alignment/>
    </xf>
    <xf numFmtId="167" fontId="0" fillId="0" borderId="0" xfId="44" applyNumberFormat="1" applyFont="1" applyFill="1" applyAlignment="1">
      <alignment horizontal="left" indent="3"/>
    </xf>
    <xf numFmtId="167" fontId="0" fillId="0" borderId="13" xfId="44" applyNumberFormat="1" applyFont="1" applyFill="1" applyBorder="1" applyAlignment="1">
      <alignment horizontal="left" indent="3"/>
    </xf>
    <xf numFmtId="0" fontId="0" fillId="0" borderId="0" xfId="0" applyFont="1" applyFill="1" applyAlignment="1">
      <alignment horizontal="centerContinuous"/>
    </xf>
    <xf numFmtId="17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left" indent="2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 indent="3"/>
    </xf>
    <xf numFmtId="171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left" indent="3"/>
    </xf>
    <xf numFmtId="165" fontId="0" fillId="0" borderId="13" xfId="42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>
      <alignment/>
    </xf>
    <xf numFmtId="167" fontId="0" fillId="0" borderId="0" xfId="44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67" fontId="0" fillId="0" borderId="11" xfId="0" applyNumberFormat="1" applyFont="1" applyBorder="1" applyAlignment="1">
      <alignment horizontal="center"/>
    </xf>
    <xf numFmtId="44" fontId="0" fillId="0" borderId="0" xfId="44" applyFont="1" applyFill="1" applyAlignment="1">
      <alignment/>
    </xf>
    <xf numFmtId="0" fontId="0" fillId="0" borderId="12" xfId="0" applyFill="1" applyBorder="1" applyAlignment="1">
      <alignment/>
    </xf>
    <xf numFmtId="165" fontId="0" fillId="0" borderId="11" xfId="42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5" fontId="7" fillId="0" borderId="0" xfId="42" applyNumberFormat="1" applyFont="1" applyAlignment="1">
      <alignment/>
    </xf>
    <xf numFmtId="165" fontId="7" fillId="0" borderId="13" xfId="42" applyNumberFormat="1" applyFont="1" applyBorder="1" applyAlignment="1">
      <alignment horizontal="right"/>
    </xf>
    <xf numFmtId="165" fontId="0" fillId="0" borderId="0" xfId="42" applyNumberFormat="1" applyFont="1" applyFill="1" applyAlignment="1" applyProtection="1">
      <alignment horizontal="right"/>
      <protection locked="0"/>
    </xf>
    <xf numFmtId="165" fontId="0" fillId="0" borderId="13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44" fontId="0" fillId="0" borderId="13" xfId="44" applyFont="1" applyFill="1" applyBorder="1" applyAlignment="1">
      <alignment/>
    </xf>
    <xf numFmtId="44" fontId="0" fillId="0" borderId="18" xfId="44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165" fontId="0" fillId="0" borderId="19" xfId="42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5" fontId="0" fillId="0" borderId="13" xfId="42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65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3" fontId="0" fillId="0" borderId="10" xfId="42" applyFont="1" applyFill="1" applyBorder="1" applyAlignment="1">
      <alignment horizontal="center"/>
    </xf>
    <xf numFmtId="43" fontId="0" fillId="0" borderId="13" xfId="42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5" fontId="0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5" fontId="0" fillId="0" borderId="20" xfId="42" applyNumberFormat="1" applyFont="1" applyFill="1" applyBorder="1" applyAlignment="1">
      <alignment horizontal="center"/>
    </xf>
    <xf numFmtId="165" fontId="0" fillId="0" borderId="15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vertical="center" wrapText="1"/>
    </xf>
    <xf numFmtId="165" fontId="0" fillId="0" borderId="11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17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0" borderId="10" xfId="0" applyFont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6" xfId="0" applyBorder="1" applyAlignment="1">
      <alignment horizontal="center" vertical="center"/>
    </xf>
    <xf numFmtId="167" fontId="0" fillId="0" borderId="0" xfId="44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4.140625" style="138" bestFit="1" customWidth="1"/>
    <col min="2" max="2" width="15.57421875" style="138" customWidth="1"/>
    <col min="3" max="3" width="14.8515625" style="138" bestFit="1" customWidth="1"/>
    <col min="4" max="4" width="13.28125" style="138" bestFit="1" customWidth="1"/>
    <col min="5" max="5" width="14.8515625" style="138" bestFit="1" customWidth="1"/>
    <col min="6" max="6" width="15.00390625" style="138" bestFit="1" customWidth="1"/>
    <col min="7" max="7" width="13.28125" style="138" bestFit="1" customWidth="1"/>
    <col min="8" max="8" width="2.7109375" style="138" customWidth="1"/>
    <col min="9" max="12" width="9.140625" style="138" customWidth="1"/>
  </cols>
  <sheetData>
    <row r="1" spans="1:12" ht="12.75">
      <c r="A1" s="405" t="s">
        <v>93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2.7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12.75">
      <c r="A3" s="405" t="s">
        <v>219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1:12" ht="13.5" thickBot="1">
      <c r="A4" s="24"/>
      <c r="B4" s="173"/>
      <c r="C4" s="24"/>
      <c r="D4" s="24"/>
      <c r="E4" s="24"/>
      <c r="F4" s="24"/>
      <c r="G4" s="24"/>
      <c r="H4" s="24"/>
      <c r="I4" s="53"/>
      <c r="J4" s="24"/>
      <c r="K4" s="24"/>
      <c r="L4" s="24"/>
    </row>
    <row r="5" spans="1:60" ht="15" customHeight="1" thickTop="1">
      <c r="A5" s="174" t="s">
        <v>85</v>
      </c>
      <c r="B5" s="175" t="s">
        <v>47</v>
      </c>
      <c r="C5" s="403"/>
      <c r="D5" s="403"/>
      <c r="E5" s="404"/>
      <c r="F5" s="404"/>
      <c r="G5" s="174"/>
      <c r="H5" s="174"/>
      <c r="I5" s="403" t="s">
        <v>90</v>
      </c>
      <c r="J5" s="403"/>
      <c r="K5" s="403"/>
      <c r="L5" s="403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12" ht="12.75">
      <c r="A6" s="33" t="s">
        <v>35</v>
      </c>
      <c r="B6" s="176" t="s">
        <v>91</v>
      </c>
      <c r="C6" s="402" t="s">
        <v>85</v>
      </c>
      <c r="D6" s="402"/>
      <c r="E6" s="177"/>
      <c r="F6" s="177"/>
      <c r="G6" s="176" t="s">
        <v>87</v>
      </c>
      <c r="H6" s="176"/>
      <c r="I6" s="178"/>
      <c r="J6" s="178"/>
      <c r="K6" s="178"/>
      <c r="L6" s="178" t="s">
        <v>156</v>
      </c>
    </row>
    <row r="7" spans="1:12" ht="13.5" thickBot="1">
      <c r="A7" s="58" t="s">
        <v>144</v>
      </c>
      <c r="B7" s="179" t="s">
        <v>92</v>
      </c>
      <c r="C7" s="55" t="s">
        <v>265</v>
      </c>
      <c r="D7" s="55" t="s">
        <v>272</v>
      </c>
      <c r="E7" s="55" t="s">
        <v>48</v>
      </c>
      <c r="F7" s="55" t="s">
        <v>55</v>
      </c>
      <c r="G7" s="55" t="s">
        <v>89</v>
      </c>
      <c r="H7" s="55"/>
      <c r="I7" s="179" t="s">
        <v>85</v>
      </c>
      <c r="J7" s="179" t="s">
        <v>48</v>
      </c>
      <c r="K7" s="180" t="s">
        <v>55</v>
      </c>
      <c r="L7" s="180" t="s">
        <v>89</v>
      </c>
    </row>
    <row r="8" spans="1:12" ht="12.75">
      <c r="A8" s="33" t="s">
        <v>0</v>
      </c>
      <c r="B8" s="181">
        <f aca="true" t="shared" si="0" ref="B8:G8">SUM(B10:B37)</f>
        <v>11660259755.499998</v>
      </c>
      <c r="C8" s="181">
        <f t="shared" si="0"/>
        <v>5763022028.060001</v>
      </c>
      <c r="D8" s="181">
        <f t="shared" si="0"/>
        <v>326043270.99</v>
      </c>
      <c r="E8" s="181">
        <f t="shared" si="0"/>
        <v>4683861675.74</v>
      </c>
      <c r="F8" s="181">
        <f t="shared" si="0"/>
        <v>686696954.8199999</v>
      </c>
      <c r="G8" s="181">
        <f t="shared" si="0"/>
        <v>200635825.89</v>
      </c>
      <c r="H8" s="181"/>
      <c r="I8" s="182">
        <f>IF(B8&lt;&gt;0,((+C8+D8)/B8),(IF(C8&lt;&gt;0,1,0)))</f>
        <v>0.5222066597768429</v>
      </c>
      <c r="J8" s="182">
        <f>IF($B8&lt;&gt;0,(E8/$B8),(IF(E8&lt;&gt;0,1,0)))</f>
        <v>0.40169445397909603</v>
      </c>
      <c r="K8" s="182">
        <f>IF($B8&lt;&gt;0,(F8/$B8),(IF(F8&lt;&gt;0,1,0)))</f>
        <v>0.05889208038406637</v>
      </c>
      <c r="L8" s="182">
        <f>IF($B8&lt;&gt;0,(G8/$B8),(IF(G8&lt;&gt;0,1,0)))</f>
        <v>0.017206805859994893</v>
      </c>
    </row>
    <row r="9" spans="1:12" ht="12.75">
      <c r="A9" s="183"/>
      <c r="B9" s="184"/>
      <c r="C9" s="184"/>
      <c r="D9" s="31"/>
      <c r="E9" s="178"/>
      <c r="F9" s="178"/>
      <c r="G9" s="178"/>
      <c r="H9" s="178"/>
      <c r="I9" s="185"/>
      <c r="J9" s="185"/>
      <c r="K9" s="185"/>
      <c r="L9" s="185"/>
    </row>
    <row r="10" spans="1:12" ht="12.75">
      <c r="A10" s="24" t="s">
        <v>1</v>
      </c>
      <c r="B10" s="112">
        <f aca="true" t="shared" si="1" ref="B10:B28">SUM(C10:G10)</f>
        <v>140280676.35</v>
      </c>
      <c r="C10" s="184">
        <f>'table 2a'!C11+table4!C11+table5!C11</f>
        <v>29013376.220000003</v>
      </c>
      <c r="D10" s="31">
        <f>'table 2a'!D11+table4!D11+table5!D11+'table 6'!C12+'table 6'!D12+'table 6'!F12</f>
        <v>3022123.2800000003</v>
      </c>
      <c r="E10" s="184">
        <f>'table 2a'!E11+table4!E11+table5!E11+'table 6'!G12</f>
        <v>93773547.71</v>
      </c>
      <c r="F10" s="31">
        <f>'table 2a'!F11+table4!F11+table5!F11+'table 6'!I12</f>
        <v>11770245.18</v>
      </c>
      <c r="G10" s="56">
        <f>table4!G11+table5!G11+'table 6'!K12</f>
        <v>2701383.9600000004</v>
      </c>
      <c r="H10" s="186"/>
      <c r="I10" s="187">
        <f>IF(B10&lt;&gt;0,((+C10+D10)/B10*100),(IF(C10&lt;&gt;0,1,0)))</f>
        <v>22.83671588528095</v>
      </c>
      <c r="J10" s="187">
        <f aca="true" t="shared" si="2" ref="J10:L14">IF($B10&lt;&gt;0,(E10/$B10*100),(IF(E10&lt;&gt;0,1,0)))</f>
        <v>66.84708838730946</v>
      </c>
      <c r="K10" s="187">
        <f t="shared" si="2"/>
        <v>8.390496457711155</v>
      </c>
      <c r="L10" s="187">
        <f t="shared" si="2"/>
        <v>1.925699269698453</v>
      </c>
    </row>
    <row r="11" spans="1:12" ht="12.75">
      <c r="A11" s="24" t="s">
        <v>2</v>
      </c>
      <c r="B11" s="112">
        <f t="shared" si="1"/>
        <v>944880784.99</v>
      </c>
      <c r="C11" s="184">
        <f>'table 2a'!C12+table4!C12+table5!C12</f>
        <v>562841314</v>
      </c>
      <c r="D11" s="31">
        <f>'table 2a'!D12+table4!D12+table5!D12+'table 6'!C13+'table 6'!D13+'table 6'!F13</f>
        <v>19553950.07</v>
      </c>
      <c r="E11" s="184">
        <f>'table 2a'!E12+table4!E12+table5!E12+'table 6'!G13</f>
        <v>288188874.9</v>
      </c>
      <c r="F11" s="31">
        <f>'table 2a'!F12+table4!F12+table5!F12+'table 6'!I13</f>
        <v>46236691.019999996</v>
      </c>
      <c r="G11" s="56">
        <f>table4!G12+table5!G12+'table 6'!K13</f>
        <v>28059955</v>
      </c>
      <c r="H11" s="112"/>
      <c r="I11" s="187">
        <f>IF(B11&lt;&gt;0,((+C11+D11)/B11*100),(IF(C11&lt;&gt;0,1,0)))</f>
        <v>61.636904181109344</v>
      </c>
      <c r="J11" s="187">
        <f t="shared" si="2"/>
        <v>30.50002492145609</v>
      </c>
      <c r="K11" s="187">
        <f t="shared" si="2"/>
        <v>4.893388854392815</v>
      </c>
      <c r="L11" s="187">
        <f t="shared" si="2"/>
        <v>2.9696820430417543</v>
      </c>
    </row>
    <row r="12" spans="1:12" ht="12.75">
      <c r="A12" s="24" t="s">
        <v>3</v>
      </c>
      <c r="B12" s="112">
        <f t="shared" si="1"/>
        <v>1252925984.04</v>
      </c>
      <c r="C12" s="184">
        <f>'table 2a'!C13+table4!C13+table5!C13</f>
        <v>232028114.25</v>
      </c>
      <c r="D12" s="31">
        <f>'table 2a'!D13+table4!D13+table5!D13+'table 6'!C14+'table 6'!D14+'table 6'!F14</f>
        <v>32092373.019999996</v>
      </c>
      <c r="E12" s="184">
        <f>'table 2a'!E13+table4!E13+table5!E13+'table 6'!G14</f>
        <v>793288807.35</v>
      </c>
      <c r="F12" s="31">
        <f>'table 2a'!F13+table4!F13+table5!F13+'table 6'!I14</f>
        <v>135244788.42</v>
      </c>
      <c r="G12" s="56">
        <f>table4!G13+table5!G13+'table 6'!K14</f>
        <v>60271901</v>
      </c>
      <c r="H12" s="112"/>
      <c r="I12" s="187">
        <f>IF(B12&lt;&gt;0,((+C12+D12)/B12*100),(IF(C12&lt;&gt;0,1,0)))</f>
        <v>21.0802944973937</v>
      </c>
      <c r="J12" s="187">
        <f t="shared" si="2"/>
        <v>63.31489788343907</v>
      </c>
      <c r="K12" s="187">
        <f t="shared" si="2"/>
        <v>10.79431587681737</v>
      </c>
      <c r="L12" s="187">
        <f t="shared" si="2"/>
        <v>4.810491742349867</v>
      </c>
    </row>
    <row r="13" spans="1:12" ht="12.75">
      <c r="A13" s="24" t="s">
        <v>4</v>
      </c>
      <c r="B13" s="112">
        <f t="shared" si="1"/>
        <v>1406027198.56</v>
      </c>
      <c r="C13" s="184">
        <f>'table 2a'!C14+table4!C14+table5!C14</f>
        <v>653392387.17</v>
      </c>
      <c r="D13" s="31">
        <f>'table 2a'!D14+table4!D14+table5!D14+'table 6'!C15+'table 6'!D15+'table 6'!F15</f>
        <v>23155480.13</v>
      </c>
      <c r="E13" s="184">
        <f>'table 2a'!E14+table4!E14+table5!E14+'table 6'!G15</f>
        <v>536963559.6600001</v>
      </c>
      <c r="F13" s="31">
        <f>'table 2a'!F14+table4!F14+table5!F14+'table 6'!I15</f>
        <v>94445762.6</v>
      </c>
      <c r="G13" s="56">
        <f>table4!G14+table5!G14+'table 6'!K15</f>
        <v>98070009</v>
      </c>
      <c r="H13" s="112"/>
      <c r="I13" s="187">
        <f>IF(B13&lt;&gt;0,((+C13+D13)/B13*100),(IF(C13&lt;&gt;0,1,0)))</f>
        <v>48.117694166435385</v>
      </c>
      <c r="J13" s="187">
        <f t="shared" si="2"/>
        <v>38.19012606654679</v>
      </c>
      <c r="K13" s="187">
        <f t="shared" si="2"/>
        <v>6.717207369582024</v>
      </c>
      <c r="L13" s="187">
        <f t="shared" si="2"/>
        <v>6.974972397435811</v>
      </c>
    </row>
    <row r="14" spans="1:12" ht="12.75">
      <c r="A14" s="24" t="s">
        <v>5</v>
      </c>
      <c r="B14" s="112">
        <f t="shared" si="1"/>
        <v>199651660.50000003</v>
      </c>
      <c r="C14" s="184">
        <f>'table 2a'!C15+table4!C15+table5!C15</f>
        <v>99775266.98</v>
      </c>
      <c r="D14" s="31">
        <f>'table 2a'!D15+table4!D15+table5!D15+'table 6'!C16+'table 6'!D16+'table 6'!F16</f>
        <v>7179148.149999999</v>
      </c>
      <c r="E14" s="184">
        <f>'table 2a'!E15+table4!E15+table5!E15+'table 6'!G16</f>
        <v>84882585.21000001</v>
      </c>
      <c r="F14" s="31">
        <f>'table 2a'!F15+table4!F15+table5!F15+'table 6'!I16</f>
        <v>7814660.159999999</v>
      </c>
      <c r="G14" s="56">
        <f>table4!G15+table5!G15+'table 6'!K16</f>
        <v>0</v>
      </c>
      <c r="H14" s="112"/>
      <c r="I14" s="187">
        <f>IF(B14&lt;&gt;0,((+C14+D14)/B14*100),(IF(C14&lt;&gt;0,1,0)))</f>
        <v>53.57051119041406</v>
      </c>
      <c r="J14" s="187">
        <f t="shared" si="2"/>
        <v>42.51534146894811</v>
      </c>
      <c r="K14" s="187">
        <f t="shared" si="2"/>
        <v>3.91414734063782</v>
      </c>
      <c r="L14" s="187">
        <f t="shared" si="2"/>
        <v>0</v>
      </c>
    </row>
    <row r="15" spans="1:12" ht="12.75">
      <c r="A15" s="24"/>
      <c r="B15" s="112"/>
      <c r="C15" s="31"/>
      <c r="D15" s="31"/>
      <c r="E15" s="56"/>
      <c r="F15" s="31"/>
      <c r="G15" s="31"/>
      <c r="H15" s="112"/>
      <c r="I15" s="187"/>
      <c r="J15" s="187"/>
      <c r="K15" s="187"/>
      <c r="L15" s="187"/>
    </row>
    <row r="16" spans="1:12" ht="12.75">
      <c r="A16" s="24" t="s">
        <v>6</v>
      </c>
      <c r="B16" s="112">
        <f t="shared" si="1"/>
        <v>68485725.39</v>
      </c>
      <c r="C16" s="184">
        <f>'table 2a'!C17+table4!C17+table5!C17</f>
        <v>15501631.34</v>
      </c>
      <c r="D16" s="31">
        <f>'table 2a'!D17+table4!D17+table5!D17+'table 6'!C18+'table 6'!D18+'table 6'!F18</f>
        <v>2807707.6300000004</v>
      </c>
      <c r="E16" s="184">
        <f>'table 2a'!E17+table4!E17+table5!E17+'table 6'!G18</f>
        <v>45197431.980000004</v>
      </c>
      <c r="F16" s="31">
        <f>'table 2a'!F17+table4!F17+table5!F17+'table 6'!I18</f>
        <v>4978954.44</v>
      </c>
      <c r="G16" s="56">
        <f>table4!G17+table5!G17+'table 6'!K18</f>
        <v>0</v>
      </c>
      <c r="H16" s="112"/>
      <c r="I16" s="187">
        <f>IF(B16&lt;&gt;0,((+C16+D16)/B16*100),(IF(C16&lt;&gt;0,1,0)))</f>
        <v>26.734533168387014</v>
      </c>
      <c r="J16" s="187">
        <f aca="true" t="shared" si="3" ref="J16:L20">IF($B16&lt;&gt;0,(E16/$B16*100),(IF(E16&lt;&gt;0,1,0)))</f>
        <v>65.99540520687766</v>
      </c>
      <c r="K16" s="187">
        <f t="shared" si="3"/>
        <v>7.270061624735315</v>
      </c>
      <c r="L16" s="187">
        <f t="shared" si="3"/>
        <v>0</v>
      </c>
    </row>
    <row r="17" spans="1:12" ht="12.75">
      <c r="A17" s="24" t="s">
        <v>7</v>
      </c>
      <c r="B17" s="112">
        <f t="shared" si="1"/>
        <v>346698388.72999996</v>
      </c>
      <c r="C17" s="184">
        <f>'table 2a'!C18+table4!C18+table5!C18</f>
        <v>180040854.85</v>
      </c>
      <c r="D17" s="31">
        <f>'table 2a'!D18+table4!D18+table5!D18+'table 6'!C19+'table 6'!D19+'table 6'!F19</f>
        <v>6614707.05</v>
      </c>
      <c r="E17" s="184">
        <f>'table 2a'!E18+table4!E18+table5!E18+'table 6'!G19</f>
        <v>147647725.88</v>
      </c>
      <c r="F17" s="31">
        <f>'table 2a'!F18+table4!F18+table5!F18+'table 6'!I19</f>
        <v>12345497.53</v>
      </c>
      <c r="G17" s="56">
        <f>table4!G18+table5!G18+'table 6'!K19</f>
        <v>49603.42</v>
      </c>
      <c r="H17" s="112"/>
      <c r="I17" s="187">
        <f>IF(B17&lt;&gt;0,((+C17+D17)/B17*100),(IF(C17&lt;&gt;0,1,0)))</f>
        <v>53.838024048436715</v>
      </c>
      <c r="J17" s="187">
        <f t="shared" si="3"/>
        <v>42.58679321264004</v>
      </c>
      <c r="K17" s="187">
        <f t="shared" si="3"/>
        <v>3.560875369286577</v>
      </c>
      <c r="L17" s="187">
        <f t="shared" si="3"/>
        <v>0.014307369636675726</v>
      </c>
    </row>
    <row r="18" spans="1:12" ht="12.75">
      <c r="A18" s="24" t="s">
        <v>8</v>
      </c>
      <c r="B18" s="112">
        <f t="shared" si="1"/>
        <v>218992776.89</v>
      </c>
      <c r="C18" s="184">
        <f>'table 2a'!C19+table4!C19+table5!C19</f>
        <v>88968785.97</v>
      </c>
      <c r="D18" s="31">
        <f>'table 2a'!D19+table4!D19+table5!D19+'table 6'!C20+'table 6'!D20+'table 6'!F20</f>
        <v>11324820.620000001</v>
      </c>
      <c r="E18" s="184">
        <f>'table 2a'!E19+table4!E19+table5!E19+'table 6'!G20</f>
        <v>108417892.85999998</v>
      </c>
      <c r="F18" s="31">
        <f>'table 2a'!F19+table4!F19+table5!F19+'table 6'!I20</f>
        <v>10281277.44</v>
      </c>
      <c r="G18" s="56">
        <f>table4!G19+table5!G19+'table 6'!K20</f>
        <v>0</v>
      </c>
      <c r="H18" s="112"/>
      <c r="I18" s="187">
        <f>IF(B18&lt;&gt;0,((+C18+D18)/B18*100),(IF(C18&lt;&gt;0,1,0)))</f>
        <v>45.797677902580986</v>
      </c>
      <c r="J18" s="187">
        <f t="shared" si="3"/>
        <v>49.50752001946542</v>
      </c>
      <c r="K18" s="187">
        <f t="shared" si="3"/>
        <v>4.694802077953595</v>
      </c>
      <c r="L18" s="187">
        <f t="shared" si="3"/>
        <v>0</v>
      </c>
    </row>
    <row r="19" spans="1:12" ht="12.75">
      <c r="A19" s="24" t="s">
        <v>9</v>
      </c>
      <c r="B19" s="112">
        <f t="shared" si="1"/>
        <v>319569763.74</v>
      </c>
      <c r="C19" s="184">
        <f>'table 2a'!C20+table4!C20+table5!C20</f>
        <v>148324306.43</v>
      </c>
      <c r="D19" s="31">
        <f>'table 2a'!D20+table4!D20+table5!D20+'table 6'!C21+'table 6'!D21+'table 6'!F21</f>
        <v>9689446.89</v>
      </c>
      <c r="E19" s="184">
        <f>'table 2a'!E20+table4!E20+table5!E20+'table 6'!G21</f>
        <v>147716002.25</v>
      </c>
      <c r="F19" s="31">
        <f>'table 2a'!F20+table4!F20+table5!F20+'table 6'!I21</f>
        <v>13840008.169999998</v>
      </c>
      <c r="G19" s="56">
        <f>table4!G20+table5!G20+'table 6'!K21</f>
        <v>0</v>
      </c>
      <c r="H19" s="112"/>
      <c r="I19" s="187">
        <f>IF(B19&lt;&gt;0,((+C19+D19)/B19*100),(IF(C19&lt;&gt;0,1,0)))</f>
        <v>49.44577718202371</v>
      </c>
      <c r="J19" s="187">
        <f t="shared" si="3"/>
        <v>46.22339752085583</v>
      </c>
      <c r="K19" s="187">
        <f t="shared" si="3"/>
        <v>4.330825297120457</v>
      </c>
      <c r="L19" s="187">
        <f t="shared" si="3"/>
        <v>0</v>
      </c>
    </row>
    <row r="20" spans="1:12" ht="12.75">
      <c r="A20" s="24" t="s">
        <v>10</v>
      </c>
      <c r="B20" s="112">
        <f t="shared" si="1"/>
        <v>57046677.11</v>
      </c>
      <c r="C20" s="184">
        <f>'table 2a'!C21+table4!C21+table5!C21</f>
        <v>19980455.14</v>
      </c>
      <c r="D20" s="31">
        <f>'table 2a'!D21+table4!D21+table5!D21+'table 6'!C22+'table 6'!D22+'table 6'!F22</f>
        <v>1993173.04</v>
      </c>
      <c r="E20" s="184">
        <f>'table 2a'!E21+table4!E21+table5!E21+'table 6'!G22</f>
        <v>28881618.04</v>
      </c>
      <c r="F20" s="31">
        <f>'table 2a'!F21+table4!F21+table5!F21+'table 6'!I22</f>
        <v>6191430.89</v>
      </c>
      <c r="G20" s="56">
        <f>table4!G21+table5!G21+'table 6'!K22</f>
        <v>0</v>
      </c>
      <c r="H20" s="112"/>
      <c r="I20" s="187">
        <f>IF(B20&lt;&gt;0,((+C20+D20)/B20*100),(IF(C20&lt;&gt;0,1,0)))</f>
        <v>38.518682056852235</v>
      </c>
      <c r="J20" s="187">
        <f t="shared" si="3"/>
        <v>50.62804619506435</v>
      </c>
      <c r="K20" s="187">
        <f t="shared" si="3"/>
        <v>10.853271748083419</v>
      </c>
      <c r="L20" s="187">
        <f t="shared" si="3"/>
        <v>0</v>
      </c>
    </row>
    <row r="21" spans="1:12" ht="12.75">
      <c r="A21" s="24"/>
      <c r="B21" s="112"/>
      <c r="C21" s="31"/>
      <c r="D21" s="31"/>
      <c r="E21" s="56"/>
      <c r="F21" s="31"/>
      <c r="G21" s="31"/>
      <c r="H21" s="112"/>
      <c r="I21" s="187"/>
      <c r="J21" s="187"/>
      <c r="K21" s="187"/>
      <c r="L21" s="187"/>
    </row>
    <row r="22" spans="1:12" ht="12.75">
      <c r="A22" s="24" t="s">
        <v>11</v>
      </c>
      <c r="B22" s="112">
        <f t="shared" si="1"/>
        <v>492503629.92</v>
      </c>
      <c r="C22" s="184">
        <f>'table 2a'!C23+table4!C23+table5!C23</f>
        <v>247674803.06</v>
      </c>
      <c r="D22" s="31">
        <f>'table 2a'!D23+table4!D23+table5!D23+'table 6'!C24+'table 6'!D24+'table 6'!F24</f>
        <v>11601391.79</v>
      </c>
      <c r="E22" s="184">
        <f>'table 2a'!E23+table4!E23+table5!E23+'table 6'!G24</f>
        <v>205455708.88000003</v>
      </c>
      <c r="F22" s="31">
        <f>'table 2a'!F23+table4!F23+table5!F23+'table 6'!I24</f>
        <v>17615289.189999998</v>
      </c>
      <c r="G22" s="56">
        <f>table4!G23+table5!G23+'table 6'!K24</f>
        <v>10156437</v>
      </c>
      <c r="H22" s="112"/>
      <c r="I22" s="187">
        <f>IF(B22&lt;&gt;0,((+C22+D22)/B22*100),(IF(C22&lt;&gt;0,1,0)))</f>
        <v>52.64452464890779</v>
      </c>
      <c r="J22" s="187">
        <f aca="true" t="shared" si="4" ref="J22:L26">IF($B22&lt;&gt;0,(E22/$B22*100),(IF(E22&lt;&gt;0,1,0)))</f>
        <v>41.71658773629207</v>
      </c>
      <c r="K22" s="187">
        <f t="shared" si="4"/>
        <v>3.5766821034113683</v>
      </c>
      <c r="L22" s="187">
        <f t="shared" si="4"/>
        <v>2.0622055113887714</v>
      </c>
    </row>
    <row r="23" spans="1:12" ht="12.75">
      <c r="A23" s="24" t="s">
        <v>12</v>
      </c>
      <c r="B23" s="112">
        <f t="shared" si="1"/>
        <v>53196663.47</v>
      </c>
      <c r="C23" s="184">
        <f>'table 2a'!C24+table4!C24+table5!C24</f>
        <v>19990279.099999998</v>
      </c>
      <c r="D23" s="31">
        <f>'table 2a'!D24+table4!D24+table5!D24+'table 6'!C25+'table 6'!D25+'table 6'!F25</f>
        <v>1944511.92</v>
      </c>
      <c r="E23" s="184">
        <f>'table 2a'!E24+table4!E24+table5!E24+'table 6'!G25</f>
        <v>25893488.290000003</v>
      </c>
      <c r="F23" s="31">
        <f>'table 2a'!F24+table4!F24+table5!F24+'table 6'!I25</f>
        <v>5359444.16</v>
      </c>
      <c r="G23" s="56">
        <f>table4!G24+table5!G24+'table 6'!K25</f>
        <v>8940</v>
      </c>
      <c r="H23" s="112"/>
      <c r="I23" s="187">
        <f>IF(B23&lt;&gt;0,((+C23+D23)/B23*100),(IF(C23&lt;&gt;0,1,0)))</f>
        <v>41.23339621171921</v>
      </c>
      <c r="J23" s="187">
        <f t="shared" si="4"/>
        <v>48.67502320818017</v>
      </c>
      <c r="K23" s="187">
        <f t="shared" si="4"/>
        <v>10.074775014832337</v>
      </c>
      <c r="L23" s="187">
        <f t="shared" si="4"/>
        <v>0.016805565268283546</v>
      </c>
    </row>
    <row r="24" spans="1:12" ht="12.75">
      <c r="A24" s="24" t="s">
        <v>13</v>
      </c>
      <c r="B24" s="112">
        <f t="shared" si="1"/>
        <v>485744722.73</v>
      </c>
      <c r="C24" s="184">
        <f>'table 2a'!C25+table4!C25+table5!C25</f>
        <v>236820823.18</v>
      </c>
      <c r="D24" s="31">
        <f>'table 2a'!D25+table4!D25+table5!D25+'table 6'!C26+'table 6'!D26+'table 6'!F26</f>
        <v>12218104.63</v>
      </c>
      <c r="E24" s="184">
        <f>'table 2a'!E25+table4!E25+table5!E25+'table 6'!G26</f>
        <v>212800288.70000002</v>
      </c>
      <c r="F24" s="31">
        <f>'table 2a'!F25+table4!F25+table5!F25+'table 6'!I26</f>
        <v>23533655.22</v>
      </c>
      <c r="G24" s="56">
        <f>table4!G25+table5!G25+'table 6'!K26</f>
        <v>371851</v>
      </c>
      <c r="H24" s="112"/>
      <c r="I24" s="187">
        <f>IF(B24&lt;&gt;0,((+C24+D24)/B24*100),(IF(C24&lt;&gt;0,1,0)))</f>
        <v>51.26950765627312</v>
      </c>
      <c r="J24" s="187">
        <f t="shared" si="4"/>
        <v>43.8090788725428</v>
      </c>
      <c r="K24" s="187">
        <f t="shared" si="4"/>
        <v>4.844860709496811</v>
      </c>
      <c r="L24" s="187">
        <f t="shared" si="4"/>
        <v>0.07655276168727261</v>
      </c>
    </row>
    <row r="25" spans="1:12" ht="12.75">
      <c r="A25" s="24" t="s">
        <v>14</v>
      </c>
      <c r="B25" s="112">
        <f t="shared" si="1"/>
        <v>740085235.58</v>
      </c>
      <c r="C25" s="184">
        <f>'table 2a'!C26+table4!C26+table5!C26</f>
        <v>513019930</v>
      </c>
      <c r="D25" s="31">
        <f>'table 2a'!D26+table4!D26+table5!D26+'table 6'!C27+'table 6'!D27+'table 6'!F27</f>
        <v>17968264</v>
      </c>
      <c r="E25" s="184">
        <f>'table 2a'!E26+table4!E26+table5!E26+'table 6'!G27</f>
        <v>189849786.76000002</v>
      </c>
      <c r="F25" s="31">
        <f>'table 2a'!F26+table4!F26+table5!F26+'table 6'!I27</f>
        <v>19247254.82</v>
      </c>
      <c r="G25" s="56">
        <f>table4!G26+table5!G26+'table 6'!K27</f>
        <v>0</v>
      </c>
      <c r="H25" s="112"/>
      <c r="I25" s="187">
        <f>IF(B25&lt;&gt;0,((+C25+D25)/B25*100),(IF(C25&lt;&gt;0,1,0)))</f>
        <v>71.7468973129653</v>
      </c>
      <c r="J25" s="187">
        <f t="shared" si="4"/>
        <v>25.652421860735537</v>
      </c>
      <c r="K25" s="187">
        <f t="shared" si="4"/>
        <v>2.600680826299156</v>
      </c>
      <c r="L25" s="187">
        <f t="shared" si="4"/>
        <v>0</v>
      </c>
    </row>
    <row r="26" spans="1:12" ht="12.75">
      <c r="A26" s="24" t="s">
        <v>15</v>
      </c>
      <c r="B26" s="112">
        <f t="shared" si="1"/>
        <v>34633840.63</v>
      </c>
      <c r="C26" s="184">
        <f>'table 2a'!C27+table4!C27+table5!C27</f>
        <v>17074383</v>
      </c>
      <c r="D26" s="31">
        <f>'table 2a'!D27+table4!D27+table5!D27+'table 6'!C28+'table 6'!D28+'table 6'!F28</f>
        <v>801993</v>
      </c>
      <c r="E26" s="184">
        <f>'table 2a'!E27+table4!E27+table5!E27+'table 6'!G28</f>
        <v>13509015.09</v>
      </c>
      <c r="F26" s="31">
        <f>'table 2a'!F27+table4!F27+table5!F27+'table 6'!I28</f>
        <v>3248449.54</v>
      </c>
      <c r="G26" s="56">
        <f>table4!G27+table5!G27+'table 6'!K28</f>
        <v>0</v>
      </c>
      <c r="H26" s="112"/>
      <c r="I26" s="187">
        <f>IF(B26&lt;&gt;0,((+C26+D26)/B26*100),(IF(C26&lt;&gt;0,1,0)))</f>
        <v>51.61534405316688</v>
      </c>
      <c r="J26" s="187">
        <f t="shared" si="4"/>
        <v>39.005247019293684</v>
      </c>
      <c r="K26" s="187">
        <f t="shared" si="4"/>
        <v>9.379408927539433</v>
      </c>
      <c r="L26" s="187">
        <f t="shared" si="4"/>
        <v>0</v>
      </c>
    </row>
    <row r="27" spans="1:12" ht="12.75">
      <c r="A27" s="24"/>
      <c r="B27" s="112"/>
      <c r="C27" s="31"/>
      <c r="D27" s="31"/>
      <c r="E27" s="56"/>
      <c r="F27" s="31"/>
      <c r="G27" s="31"/>
      <c r="H27" s="112"/>
      <c r="I27" s="187"/>
      <c r="J27" s="187"/>
      <c r="K27" s="187"/>
      <c r="L27" s="187"/>
    </row>
    <row r="28" spans="1:12" ht="12.75">
      <c r="A28" s="24" t="s">
        <v>16</v>
      </c>
      <c r="B28" s="112">
        <f t="shared" si="1"/>
        <v>2216656169.1800003</v>
      </c>
      <c r="C28" s="184">
        <f>'table 2a'!C29+table4!C29+table5!C29</f>
        <v>1608851294.5900002</v>
      </c>
      <c r="D28" s="31">
        <f>'table 2a'!D29+table4!D29+table5!D29+'table 6'!C30+'table 6'!D30+'table 6'!F30</f>
        <v>37547087.230000004</v>
      </c>
      <c r="E28" s="184">
        <f>'table 2a'!E29+table4!E29+table5!E29+'table 6'!G30</f>
        <v>475235451.59</v>
      </c>
      <c r="F28" s="31">
        <f>'table 2a'!F29+table4!F29+table5!F29+'table 6'!I30</f>
        <v>95022335.77</v>
      </c>
      <c r="G28" s="56">
        <f>table4!G29+table5!G29+'table 6'!K30</f>
        <v>0</v>
      </c>
      <c r="H28" s="112"/>
      <c r="I28" s="187">
        <f>IF(B28&lt;&gt;0,((+C28+D28)/B28*100),(IF(C28&lt;&gt;0,1,0)))</f>
        <v>74.27396294974544</v>
      </c>
      <c r="J28" s="187">
        <f aca="true" t="shared" si="5" ref="J28:L32">IF($B28&lt;&gt;0,(E28/$B28*100),(IF(E28&lt;&gt;0,1,0)))</f>
        <v>21.439294835057893</v>
      </c>
      <c r="K28" s="187">
        <f t="shared" si="5"/>
        <v>4.286742215196653</v>
      </c>
      <c r="L28" s="187">
        <f t="shared" si="5"/>
        <v>0</v>
      </c>
    </row>
    <row r="29" spans="1:12" ht="12.75">
      <c r="A29" s="24" t="s">
        <v>17</v>
      </c>
      <c r="B29" s="112">
        <f aca="true" t="shared" si="6" ref="B29:B37">SUM(C29:G29)</f>
        <v>1748306314.6299999</v>
      </c>
      <c r="C29" s="184">
        <f>'table 2a'!C30+table4!C30+table5!C30</f>
        <v>685747528.68</v>
      </c>
      <c r="D29" s="31">
        <f>'table 2a'!D30+table4!D30+table5!D30+'table 6'!C31+'table 6'!D31+'table 6'!F31</f>
        <v>93000155.33999999</v>
      </c>
      <c r="E29" s="184">
        <f>'table 2a'!E30+table4!E30+table5!E30+'table 6'!G31</f>
        <v>855278839.4099998</v>
      </c>
      <c r="F29" s="31">
        <f>'table 2a'!F30+table4!F30+table5!F30+'table 6'!I31</f>
        <v>114279791.20000002</v>
      </c>
      <c r="G29" s="56">
        <f>table4!G30+table5!G30+'table 6'!K31</f>
        <v>0</v>
      </c>
      <c r="H29" s="112"/>
      <c r="I29" s="187">
        <f>IF(B29&lt;&gt;0,((+C29+D29)/B29*100),(IF(C29&lt;&gt;0,1,0)))</f>
        <v>44.54297725194735</v>
      </c>
      <c r="J29" s="187">
        <f t="shared" si="5"/>
        <v>48.92042271156616</v>
      </c>
      <c r="K29" s="187">
        <f t="shared" si="5"/>
        <v>6.536600036486481</v>
      </c>
      <c r="L29" s="187">
        <f t="shared" si="5"/>
        <v>0</v>
      </c>
    </row>
    <row r="30" spans="1:12" ht="12.75">
      <c r="A30" s="24" t="s">
        <v>18</v>
      </c>
      <c r="B30" s="112">
        <f t="shared" si="6"/>
        <v>101731293.97</v>
      </c>
      <c r="C30" s="184">
        <f>'table 2a'!C31+table4!C31+table5!C31</f>
        <v>59350977.64</v>
      </c>
      <c r="D30" s="31">
        <f>'table 2a'!D31+table4!D31+table5!D31+'table 6'!C32+'table 6'!D32+'table 6'!F32</f>
        <v>2782611.89</v>
      </c>
      <c r="E30" s="184">
        <f>'table 2a'!E31+table4!E31+table5!E31+'table 6'!G32</f>
        <v>34583997.769999996</v>
      </c>
      <c r="F30" s="31">
        <f>'table 2a'!F31+table4!F31+table5!F31+'table 6'!I32</f>
        <v>5013706.670000001</v>
      </c>
      <c r="G30" s="56">
        <f>table4!G31+table5!G31+'table 6'!K32</f>
        <v>0</v>
      </c>
      <c r="H30" s="112"/>
      <c r="I30" s="187">
        <f>IF(B30&lt;&gt;0,((+C30+D30)/B30*100),(IF(C30&lt;&gt;0,1,0)))</f>
        <v>61.076181286284296</v>
      </c>
      <c r="J30" s="187">
        <f t="shared" si="5"/>
        <v>33.99543682222171</v>
      </c>
      <c r="K30" s="187">
        <f t="shared" si="5"/>
        <v>4.928381891493993</v>
      </c>
      <c r="L30" s="187">
        <f t="shared" si="5"/>
        <v>0</v>
      </c>
    </row>
    <row r="31" spans="1:12" ht="12.75">
      <c r="A31" s="24" t="s">
        <v>19</v>
      </c>
      <c r="B31" s="112">
        <f t="shared" si="6"/>
        <v>192449440.06</v>
      </c>
      <c r="C31" s="184">
        <f>'table 2a'!C32+table4!C32+table5!C32</f>
        <v>81784275.35</v>
      </c>
      <c r="D31" s="31">
        <f>'table 2a'!D32+table4!D32+table5!D32+'table 6'!C33+'table 6'!D33+'table 6'!F33</f>
        <v>5027592.720000001</v>
      </c>
      <c r="E31" s="184">
        <f>'table 2a'!E32+table4!E32+table5!E32+'table 6'!G33</f>
        <v>93054588.55000001</v>
      </c>
      <c r="F31" s="31">
        <f>'table 2a'!F32+table4!F32+table5!F32+'table 6'!I33</f>
        <v>12582983.44</v>
      </c>
      <c r="G31" s="56">
        <f>table4!G32+table5!G32+'table 6'!K33</f>
        <v>0</v>
      </c>
      <c r="H31" s="112"/>
      <c r="I31" s="187">
        <f>IF(B31&lt;&gt;0,((+C31+D31)/B31*100),(IF(C31&lt;&gt;0,1,0)))</f>
        <v>45.1089221371258</v>
      </c>
      <c r="J31" s="187">
        <f t="shared" si="5"/>
        <v>48.352745802216084</v>
      </c>
      <c r="K31" s="187">
        <f t="shared" si="5"/>
        <v>6.538332060658114</v>
      </c>
      <c r="L31" s="187">
        <f t="shared" si="5"/>
        <v>0</v>
      </c>
    </row>
    <row r="32" spans="1:12" ht="12.75">
      <c r="A32" s="24" t="s">
        <v>20</v>
      </c>
      <c r="B32" s="112">
        <f t="shared" si="6"/>
        <v>52925588.31000001</v>
      </c>
      <c r="C32" s="184">
        <f>'table 2a'!C33+table4!C33+table5!C33</f>
        <v>10756415.26</v>
      </c>
      <c r="D32" s="31">
        <f>'table 2a'!D33+table4!D33+table5!D33+'table 6'!C34+'table 6'!D34+'table 6'!F34</f>
        <v>907377.58</v>
      </c>
      <c r="E32" s="184">
        <f>'table 2a'!E33+table4!E33+table5!E33+'table 6'!G34</f>
        <v>35557328.730000004</v>
      </c>
      <c r="F32" s="31">
        <f>'table 2a'!F33+table4!F33+table5!F33+'table 6'!I34</f>
        <v>5704466.74</v>
      </c>
      <c r="G32" s="56">
        <f>table4!G33+table5!G33+'table 6'!K34</f>
        <v>0</v>
      </c>
      <c r="H32" s="112"/>
      <c r="I32" s="187">
        <f>IF(B32&lt;&gt;0,((+C32+D32)/B32*100),(IF(C32&lt;&gt;0,1,0)))</f>
        <v>22.0380976621023</v>
      </c>
      <c r="J32" s="187">
        <f t="shared" si="5"/>
        <v>67.1836249069746</v>
      </c>
      <c r="K32" s="187">
        <f t="shared" si="5"/>
        <v>10.77827743092309</v>
      </c>
      <c r="L32" s="187">
        <f t="shared" si="5"/>
        <v>0</v>
      </c>
    </row>
    <row r="33" spans="1:12" ht="12.75" customHeight="1">
      <c r="A33" s="24"/>
      <c r="B33" s="112"/>
      <c r="C33" s="31"/>
      <c r="D33" s="31"/>
      <c r="E33" s="56"/>
      <c r="F33" s="31"/>
      <c r="G33" s="31"/>
      <c r="H33" s="112"/>
      <c r="I33" s="24"/>
      <c r="J33" s="24"/>
      <c r="K33" s="24"/>
      <c r="L33" s="24"/>
    </row>
    <row r="34" spans="1:12" ht="12.75">
      <c r="A34" s="24" t="s">
        <v>21</v>
      </c>
      <c r="B34" s="112">
        <f t="shared" si="6"/>
        <v>49949806.99</v>
      </c>
      <c r="C34" s="184">
        <f>'table 2a'!C35+table4!C35+table5!C35</f>
        <v>31904451.47</v>
      </c>
      <c r="D34" s="31">
        <f>'table 2a'!D35+table4!D35+table5!D35+'table 6'!C36+'table 6'!D36+'table 6'!F36</f>
        <v>2463153.13</v>
      </c>
      <c r="E34" s="184">
        <f>'table 2a'!E35+table4!E35+table5!E35+'table 6'!G36</f>
        <v>12694129.11</v>
      </c>
      <c r="F34" s="31">
        <f>'table 2a'!F35+table4!F35+table5!F35+'table 6'!I36</f>
        <v>2888073.2800000003</v>
      </c>
      <c r="G34" s="56">
        <f>table4!G35+table5!G35+'table 6'!K36</f>
        <v>0</v>
      </c>
      <c r="H34" s="112"/>
      <c r="I34" s="187">
        <f>IF(B34&lt;&gt;0,((+C34+D34)/B34*100),(IF(C34&lt;&gt;0,1,0)))</f>
        <v>68.80427907735545</v>
      </c>
      <c r="J34" s="187">
        <f aca="true" t="shared" si="7" ref="J34:L37">IF($B34&lt;&gt;0,(E34/$B34*100),(IF(E34&lt;&gt;0,1,0)))</f>
        <v>25.41377009232764</v>
      </c>
      <c r="K34" s="187">
        <f t="shared" si="7"/>
        <v>5.781950830316912</v>
      </c>
      <c r="L34" s="187">
        <f t="shared" si="7"/>
        <v>0</v>
      </c>
    </row>
    <row r="35" spans="1:12" ht="12.75">
      <c r="A35" s="24" t="s">
        <v>22</v>
      </c>
      <c r="B35" s="112">
        <f t="shared" si="6"/>
        <v>244780102.67</v>
      </c>
      <c r="C35" s="184">
        <f>'table 2a'!C36+table4!C36+table5!C36</f>
        <v>98684850.25</v>
      </c>
      <c r="D35" s="31">
        <f>'table 2a'!D36+table4!D36+table5!D36+'table 6'!C37+'table 6'!D37+'table 6'!F37</f>
        <v>5745907.14</v>
      </c>
      <c r="E35" s="184">
        <f>'table 2a'!E36+table4!E36+table5!E36+'table 6'!G37</f>
        <v>123192042.67</v>
      </c>
      <c r="F35" s="31">
        <f>'table 2a'!F36+table4!F36+table5!F36+'table 6'!I37</f>
        <v>16211557.100000001</v>
      </c>
      <c r="G35" s="56">
        <f>table4!G36+table5!G36+'table 6'!K37</f>
        <v>945745.51</v>
      </c>
      <c r="H35" s="112"/>
      <c r="I35" s="187">
        <f>IF(B35&lt;&gt;0,((+C35+D35)/B35*100),(IF(C35&lt;&gt;0,1,0)))</f>
        <v>42.663090770408004</v>
      </c>
      <c r="J35" s="187">
        <f t="shared" si="7"/>
        <v>50.3276374698156</v>
      </c>
      <c r="K35" s="187">
        <f t="shared" si="7"/>
        <v>6.622906405859137</v>
      </c>
      <c r="L35" s="187">
        <f t="shared" si="7"/>
        <v>0.38636535391726906</v>
      </c>
    </row>
    <row r="36" spans="1:12" ht="12.75">
      <c r="A36" s="24" t="s">
        <v>23</v>
      </c>
      <c r="B36" s="112">
        <f t="shared" si="6"/>
        <v>189859133.48000002</v>
      </c>
      <c r="C36" s="184">
        <f>'table 2a'!C37+table4!C37+table5!C37</f>
        <v>55175278</v>
      </c>
      <c r="D36" s="31">
        <f>'table 2a'!D37+table4!D37+table5!D37+'table 6'!C38+'table 6'!D38+'table 6'!F38</f>
        <v>14484463.239999998</v>
      </c>
      <c r="E36" s="184">
        <f>'table 2a'!E37+table4!E37+table5!E37+'table 6'!G38</f>
        <v>105130314.43</v>
      </c>
      <c r="F36" s="31">
        <f>'table 2a'!F37+table4!F37+table5!F37+'table 6'!I38</f>
        <v>15069077.81</v>
      </c>
      <c r="G36" s="56">
        <f>table4!G37+table5!G37+'table 6'!K38</f>
        <v>0</v>
      </c>
      <c r="H36" s="112"/>
      <c r="I36" s="187">
        <f>IF(B36&lt;&gt;0,((+C36+D36)/B36*100),(IF(C36&lt;&gt;0,1,0)))</f>
        <v>36.690223937705916</v>
      </c>
      <c r="J36" s="187">
        <f t="shared" si="7"/>
        <v>55.37279798081168</v>
      </c>
      <c r="K36" s="187">
        <f t="shared" si="7"/>
        <v>7.936978081482393</v>
      </c>
      <c r="L36" s="187">
        <f t="shared" si="7"/>
        <v>0</v>
      </c>
    </row>
    <row r="37" spans="1:12" ht="12.75">
      <c r="A37" s="32" t="s">
        <v>24</v>
      </c>
      <c r="B37" s="188">
        <f t="shared" si="6"/>
        <v>102878177.58</v>
      </c>
      <c r="C37" s="189">
        <f>'table 2a'!C38+table4!C38+table5!C38</f>
        <v>66320246.13</v>
      </c>
      <c r="D37" s="29">
        <f>'table 2a'!D38+table4!D38+table5!D38+'table 6'!C39+'table 6'!D39+'table 6'!F39</f>
        <v>2117727.5</v>
      </c>
      <c r="E37" s="189">
        <f>'table 2a'!E38+table4!E38+table5!E38+'table 6'!G39</f>
        <v>26668649.92</v>
      </c>
      <c r="F37" s="29">
        <f>'table 2a'!F38+table4!F38+table5!F38+'table 6'!I39</f>
        <v>7771554.030000001</v>
      </c>
      <c r="G37" s="190">
        <f>table4!G38+table5!G38+'table 6'!K39</f>
        <v>0</v>
      </c>
      <c r="H37" s="188"/>
      <c r="I37" s="191">
        <f>IF(B37&lt;&gt;0,((+C37+D37)/B37*100),(IF(C37&lt;&gt;0,1,0)))</f>
        <v>66.52331450640379</v>
      </c>
      <c r="J37" s="191">
        <f t="shared" si="7"/>
        <v>25.922552816667032</v>
      </c>
      <c r="K37" s="191">
        <f t="shared" si="7"/>
        <v>7.554132676929172</v>
      </c>
      <c r="L37" s="191">
        <f t="shared" si="7"/>
        <v>0</v>
      </c>
    </row>
    <row r="38" spans="1:13" ht="12.75">
      <c r="A38" s="242" t="s">
        <v>269</v>
      </c>
      <c r="B38" s="124"/>
      <c r="C38" s="243"/>
      <c r="D38" s="124"/>
      <c r="E38" s="124"/>
      <c r="F38" s="124"/>
      <c r="G38" s="124"/>
      <c r="H38" s="124"/>
      <c r="I38" s="244"/>
      <c r="J38" s="244"/>
      <c r="K38" s="244"/>
      <c r="L38" s="244"/>
      <c r="M38" s="124"/>
    </row>
    <row r="39" spans="1:13" ht="12.75">
      <c r="A39" s="83" t="s">
        <v>273</v>
      </c>
      <c r="B39" s="124"/>
      <c r="C39" s="124"/>
      <c r="D39" s="124"/>
      <c r="E39" s="124"/>
      <c r="F39" s="124"/>
      <c r="G39" s="124"/>
      <c r="H39" s="124"/>
      <c r="I39" s="244"/>
      <c r="J39" s="244"/>
      <c r="K39" s="244"/>
      <c r="L39" s="244"/>
      <c r="M39" s="124"/>
    </row>
    <row r="40" spans="1:13" ht="12.75">
      <c r="A40" s="245" t="s">
        <v>266</v>
      </c>
      <c r="B40" s="124"/>
      <c r="C40" s="124"/>
      <c r="D40" s="124"/>
      <c r="E40" s="124"/>
      <c r="F40" s="124"/>
      <c r="G40" s="124"/>
      <c r="H40" s="124"/>
      <c r="I40" s="244"/>
      <c r="J40" s="244"/>
      <c r="K40" s="244"/>
      <c r="L40" s="244"/>
      <c r="M40" s="124"/>
    </row>
    <row r="41" spans="1:12" ht="12.75">
      <c r="A41" s="172"/>
      <c r="I41" s="192"/>
      <c r="J41" s="192"/>
      <c r="K41" s="192"/>
      <c r="L41" s="192"/>
    </row>
    <row r="42" spans="9:12" ht="12.75">
      <c r="I42" s="142"/>
      <c r="J42" s="142"/>
      <c r="K42" s="142"/>
      <c r="L42" s="142"/>
    </row>
    <row r="43" spans="9:12" ht="12.75">
      <c r="I43" s="142"/>
      <c r="J43" s="142"/>
      <c r="K43" s="142"/>
      <c r="L43" s="142"/>
    </row>
  </sheetData>
  <sheetProtection password="CAF5" sheet="1" objects="1" scenarios="1"/>
  <mergeCells count="6">
    <mergeCell ref="C6:D6"/>
    <mergeCell ref="C5:F5"/>
    <mergeCell ref="I5:L5"/>
    <mergeCell ref="A1:L1"/>
    <mergeCell ref="A2:L2"/>
    <mergeCell ref="A3:L3"/>
  </mergeCells>
  <printOptions horizontalCentered="1"/>
  <pageMargins left="0.59" right="0.56" top="0.83" bottom="1" header="0.67" footer="0.5"/>
  <pageSetup fitToHeight="1" fitToWidth="1" horizontalDpi="600" verticalDpi="600" orientation="landscape" scale="91" r:id="rId1"/>
  <headerFooter alignWithMargins="0">
    <oddFooter>&amp;L&amp;"Arial,Italic"&amp;9MSDE-DBS  10 / 2008&amp;C- 1 -&amp;R&amp;"Arial,Italic"&amp;9Selected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8515625" style="0" customWidth="1"/>
    <col min="2" max="2" width="11.28125" style="337" customWidth="1"/>
    <col min="3" max="3" width="11.57421875" style="337" customWidth="1"/>
    <col min="4" max="4" width="14.421875" style="337" customWidth="1"/>
    <col min="5" max="5" width="15.00390625" style="337" bestFit="1" customWidth="1"/>
    <col min="6" max="6" width="14.8515625" style="337" customWidth="1"/>
    <col min="7" max="7" width="15.57421875" style="337" customWidth="1"/>
    <col min="8" max="8" width="17.421875" style="0" customWidth="1"/>
    <col min="9" max="9" width="12.140625" style="0" customWidth="1"/>
  </cols>
  <sheetData>
    <row r="1" spans="1:8" ht="12.75">
      <c r="A1" s="411" t="s">
        <v>128</v>
      </c>
      <c r="B1" s="411"/>
      <c r="C1" s="411"/>
      <c r="D1" s="411"/>
      <c r="E1" s="411"/>
      <c r="F1" s="411"/>
      <c r="G1" s="411"/>
      <c r="H1" s="411"/>
    </row>
    <row r="3" spans="1:8" ht="12.75">
      <c r="A3" s="411" t="s">
        <v>224</v>
      </c>
      <c r="B3" s="411"/>
      <c r="C3" s="411"/>
      <c r="D3" s="411"/>
      <c r="E3" s="411"/>
      <c r="F3" s="411"/>
      <c r="G3" s="411"/>
      <c r="H3" s="411"/>
    </row>
    <row r="4" spans="1:8" ht="13.5" thickBot="1">
      <c r="A4" s="124"/>
      <c r="B4" s="260"/>
      <c r="C4" s="260"/>
      <c r="D4" s="260"/>
      <c r="E4" s="260"/>
      <c r="F4" s="260"/>
      <c r="G4" s="260"/>
      <c r="H4" s="260"/>
    </row>
    <row r="5" spans="1:8" ht="15" customHeight="1" thickTop="1">
      <c r="A5" s="388" t="s">
        <v>51</v>
      </c>
      <c r="B5" s="388"/>
      <c r="C5" s="388"/>
      <c r="D5" s="388"/>
      <c r="E5" s="388"/>
      <c r="F5" s="388"/>
      <c r="G5" s="388"/>
      <c r="H5" s="389"/>
    </row>
    <row r="6" spans="1:29" ht="12.75">
      <c r="A6" s="444"/>
      <c r="B6" s="444"/>
      <c r="C6" s="444"/>
      <c r="D6" s="444"/>
      <c r="E6" s="444"/>
      <c r="F6" s="444"/>
      <c r="G6" s="444"/>
      <c r="H6" s="44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8" ht="12.75" customHeight="1">
      <c r="A7" s="433" t="s">
        <v>187</v>
      </c>
      <c r="B7" s="221"/>
      <c r="C7" s="261"/>
      <c r="D7" s="441" t="s">
        <v>182</v>
      </c>
      <c r="E7" s="440" t="s">
        <v>188</v>
      </c>
      <c r="F7" s="445" t="s">
        <v>190</v>
      </c>
      <c r="G7" s="440" t="s">
        <v>191</v>
      </c>
      <c r="H7" s="443" t="s">
        <v>167</v>
      </c>
    </row>
    <row r="8" spans="1:8" ht="12.75" customHeight="1">
      <c r="A8" s="433"/>
      <c r="B8" s="243" t="s">
        <v>139</v>
      </c>
      <c r="C8" s="200" t="s">
        <v>192</v>
      </c>
      <c r="D8" s="441"/>
      <c r="E8" s="434"/>
      <c r="F8" s="446"/>
      <c r="G8" s="434"/>
      <c r="H8" s="434"/>
    </row>
    <row r="9" spans="1:8" ht="12.75" customHeight="1">
      <c r="A9" s="433"/>
      <c r="B9" s="243" t="s">
        <v>141</v>
      </c>
      <c r="C9" s="334" t="s">
        <v>172</v>
      </c>
      <c r="D9" s="441"/>
      <c r="E9" s="434"/>
      <c r="F9" s="446"/>
      <c r="G9" s="434"/>
      <c r="H9" s="434"/>
    </row>
    <row r="10" spans="1:8" ht="13.5" thickBot="1">
      <c r="A10" s="435"/>
      <c r="B10" s="202" t="s">
        <v>35</v>
      </c>
      <c r="C10" s="202" t="s">
        <v>173</v>
      </c>
      <c r="D10" s="442"/>
      <c r="E10" s="435"/>
      <c r="F10" s="447"/>
      <c r="G10" s="435"/>
      <c r="H10" s="435"/>
    </row>
    <row r="11" spans="1:8" s="48" customFormat="1" ht="12.75">
      <c r="A11" s="54" t="s">
        <v>0</v>
      </c>
      <c r="B11" s="335">
        <f aca="true" t="shared" si="0" ref="B11:H11">SUM(B13:B40)</f>
        <v>935634.3699999999</v>
      </c>
      <c r="C11" s="335">
        <f t="shared" si="0"/>
        <v>177631.95</v>
      </c>
      <c r="D11" s="212">
        <f t="shared" si="0"/>
        <v>88816967.5</v>
      </c>
      <c r="E11" s="335">
        <f t="shared" si="0"/>
        <v>4964410</v>
      </c>
      <c r="F11" s="335">
        <f t="shared" si="0"/>
        <v>4928062.819999998</v>
      </c>
      <c r="G11" s="335">
        <f t="shared" si="0"/>
        <v>4156394.4199999995</v>
      </c>
      <c r="H11" s="335">
        <f t="shared" si="0"/>
        <v>22516396.96</v>
      </c>
    </row>
    <row r="12" spans="1:8" ht="12.75">
      <c r="A12" s="3"/>
      <c r="B12" s="213"/>
      <c r="C12" s="213"/>
      <c r="D12" s="63"/>
      <c r="E12" s="213"/>
      <c r="F12" s="213"/>
      <c r="G12" s="213"/>
      <c r="H12" s="124"/>
    </row>
    <row r="13" spans="1:9" ht="12.75">
      <c r="A13" t="s">
        <v>1</v>
      </c>
      <c r="B13" s="213">
        <v>81.55</v>
      </c>
      <c r="C13" s="213">
        <v>0</v>
      </c>
      <c r="D13" s="115">
        <v>32567</v>
      </c>
      <c r="E13" s="213">
        <v>165660</v>
      </c>
      <c r="F13" s="213">
        <v>280358.79</v>
      </c>
      <c r="G13" s="213">
        <v>28749</v>
      </c>
      <c r="H13" s="213">
        <v>306427.11</v>
      </c>
      <c r="I13" s="1"/>
    </row>
    <row r="14" spans="1:8" ht="12.75">
      <c r="A14" t="s">
        <v>2</v>
      </c>
      <c r="B14" s="213">
        <v>4760.02</v>
      </c>
      <c r="C14" s="213">
        <v>0</v>
      </c>
      <c r="D14" s="115">
        <v>3003245</v>
      </c>
      <c r="E14" s="213">
        <v>0</v>
      </c>
      <c r="F14" s="213">
        <v>22306.19</v>
      </c>
      <c r="G14" s="213">
        <v>56345.25</v>
      </c>
      <c r="H14" s="213">
        <v>990083.75</v>
      </c>
    </row>
    <row r="15" spans="1:8" ht="12.75">
      <c r="A15" t="s">
        <v>3</v>
      </c>
      <c r="B15" s="213">
        <v>0</v>
      </c>
      <c r="C15" s="213">
        <v>0</v>
      </c>
      <c r="D15" s="226">
        <v>6715318</v>
      </c>
      <c r="E15" s="213">
        <v>1412000</v>
      </c>
      <c r="F15" s="213">
        <v>315004.81</v>
      </c>
      <c r="G15" s="213">
        <v>463137.18</v>
      </c>
      <c r="H15" s="213">
        <v>432645.72</v>
      </c>
    </row>
    <row r="16" spans="1:8" ht="12.75">
      <c r="A16" t="s">
        <v>4</v>
      </c>
      <c r="B16" s="213">
        <v>872140.58</v>
      </c>
      <c r="C16" s="219">
        <v>177631.95</v>
      </c>
      <c r="D16" s="226">
        <v>6736293</v>
      </c>
      <c r="E16" s="213">
        <v>480000</v>
      </c>
      <c r="F16" s="213">
        <v>0</v>
      </c>
      <c r="G16" s="213">
        <v>314814.96</v>
      </c>
      <c r="H16" s="213">
        <v>6261220.2700000005</v>
      </c>
    </row>
    <row r="17" spans="1:8" ht="12.75">
      <c r="A17" t="s">
        <v>5</v>
      </c>
      <c r="B17" s="213">
        <v>0</v>
      </c>
      <c r="C17" s="213">
        <v>0</v>
      </c>
      <c r="D17" s="226">
        <v>370222</v>
      </c>
      <c r="E17" s="219">
        <v>0</v>
      </c>
      <c r="F17" s="219">
        <v>317427.7</v>
      </c>
      <c r="G17" s="213">
        <v>42176.31</v>
      </c>
      <c r="H17" s="213">
        <v>447483.66</v>
      </c>
    </row>
    <row r="18" spans="2:8" ht="12.75">
      <c r="B18" s="213"/>
      <c r="C18" s="213"/>
      <c r="D18" s="115"/>
      <c r="E18" s="213"/>
      <c r="F18" s="213"/>
      <c r="G18" s="213"/>
      <c r="H18" s="213"/>
    </row>
    <row r="19" spans="1:8" ht="12.75">
      <c r="A19" t="s">
        <v>6</v>
      </c>
      <c r="B19" s="213">
        <v>0</v>
      </c>
      <c r="C19" s="213">
        <v>0</v>
      </c>
      <c r="D19" s="115">
        <v>479127</v>
      </c>
      <c r="E19" s="213">
        <v>100000</v>
      </c>
      <c r="F19" s="213">
        <v>317877.1</v>
      </c>
      <c r="G19" s="213">
        <v>18850</v>
      </c>
      <c r="H19" s="213">
        <v>109021</v>
      </c>
    </row>
    <row r="20" spans="1:8" ht="12.75">
      <c r="A20" t="s">
        <v>7</v>
      </c>
      <c r="B20" s="213">
        <v>19606.91</v>
      </c>
      <c r="C20" s="213">
        <v>0</v>
      </c>
      <c r="D20" s="115">
        <v>409835</v>
      </c>
      <c r="E20" s="213">
        <v>54000</v>
      </c>
      <c r="F20" s="213">
        <v>33407.2</v>
      </c>
      <c r="G20" s="213">
        <v>391893.82</v>
      </c>
      <c r="H20" s="213">
        <v>460625.65</v>
      </c>
    </row>
    <row r="21" spans="1:8" ht="12.75">
      <c r="A21" t="s">
        <v>8</v>
      </c>
      <c r="B21" s="219">
        <v>4377.03</v>
      </c>
      <c r="C21" s="213">
        <v>0</v>
      </c>
      <c r="D21" s="115">
        <v>394483</v>
      </c>
      <c r="E21" s="213">
        <v>79000</v>
      </c>
      <c r="F21" s="213">
        <v>0</v>
      </c>
      <c r="G21" s="213">
        <v>280311.68</v>
      </c>
      <c r="H21" s="213">
        <v>379765.5</v>
      </c>
    </row>
    <row r="22" spans="1:8" ht="12.75">
      <c r="A22" t="s">
        <v>9</v>
      </c>
      <c r="B22" s="213">
        <v>0</v>
      </c>
      <c r="C22" s="213">
        <v>0</v>
      </c>
      <c r="D22" s="115">
        <v>463687</v>
      </c>
      <c r="E22" s="213">
        <v>89000</v>
      </c>
      <c r="F22" s="213">
        <v>528057.58</v>
      </c>
      <c r="G22" s="213">
        <v>53860.62</v>
      </c>
      <c r="H22" s="213">
        <f>2971504.91-1574125</f>
        <v>1397379.9100000001</v>
      </c>
    </row>
    <row r="23" spans="1:8" ht="12.75">
      <c r="A23" t="s">
        <v>10</v>
      </c>
      <c r="B23" s="213">
        <v>0</v>
      </c>
      <c r="C23" s="213">
        <v>0</v>
      </c>
      <c r="D23" s="115">
        <v>268692</v>
      </c>
      <c r="E23" s="213">
        <v>0</v>
      </c>
      <c r="F23" s="213">
        <v>321394.09</v>
      </c>
      <c r="G23" s="213">
        <v>7431</v>
      </c>
      <c r="H23" s="213">
        <v>313749</v>
      </c>
    </row>
    <row r="24" spans="2:8" ht="12.75">
      <c r="B24" s="213"/>
      <c r="C24" s="213"/>
      <c r="D24" s="115"/>
      <c r="E24" s="213"/>
      <c r="F24" s="213"/>
      <c r="G24" s="213"/>
      <c r="H24" s="213"/>
    </row>
    <row r="25" spans="1:8" ht="12.75">
      <c r="A25" t="s">
        <v>11</v>
      </c>
      <c r="B25" s="213">
        <v>0</v>
      </c>
      <c r="C25" s="213">
        <v>0</v>
      </c>
      <c r="D25" s="115">
        <v>2772602</v>
      </c>
      <c r="E25" s="213">
        <v>153000</v>
      </c>
      <c r="F25" s="213">
        <v>399395.32</v>
      </c>
      <c r="G25" s="213">
        <v>5645.73</v>
      </c>
      <c r="H25" s="213">
        <v>682579.82</v>
      </c>
    </row>
    <row r="26" spans="1:8" ht="12.75">
      <c r="A26" t="s">
        <v>12</v>
      </c>
      <c r="B26" s="213">
        <v>0</v>
      </c>
      <c r="C26" s="213">
        <v>0</v>
      </c>
      <c r="D26" s="115">
        <v>0</v>
      </c>
      <c r="E26" s="213">
        <v>5000</v>
      </c>
      <c r="F26" s="213">
        <v>10528.8</v>
      </c>
      <c r="G26" s="213">
        <v>345708.87</v>
      </c>
      <c r="H26" s="213">
        <v>143094.33</v>
      </c>
    </row>
    <row r="27" spans="1:8" ht="12.75">
      <c r="A27" t="s">
        <v>13</v>
      </c>
      <c r="B27" s="219">
        <v>0</v>
      </c>
      <c r="C27" s="213">
        <v>0</v>
      </c>
      <c r="D27" s="115">
        <v>1234167</v>
      </c>
      <c r="E27" s="213">
        <v>16000</v>
      </c>
      <c r="F27" s="213">
        <v>0</v>
      </c>
      <c r="G27" s="213">
        <v>77081</v>
      </c>
      <c r="H27" s="213">
        <v>2453479.11</v>
      </c>
    </row>
    <row r="28" spans="1:8" ht="12.75">
      <c r="A28" t="s">
        <v>14</v>
      </c>
      <c r="B28" s="213">
        <v>0</v>
      </c>
      <c r="C28" s="213">
        <v>0</v>
      </c>
      <c r="D28" s="115">
        <v>3618550</v>
      </c>
      <c r="E28" s="213">
        <v>105750</v>
      </c>
      <c r="F28" s="213">
        <v>23116.48</v>
      </c>
      <c r="G28" s="213">
        <v>351938.27</v>
      </c>
      <c r="H28" s="213">
        <v>1874654</v>
      </c>
    </row>
    <row r="29" spans="1:8" ht="12.75">
      <c r="A29" t="s">
        <v>15</v>
      </c>
      <c r="B29" s="213">
        <v>0</v>
      </c>
      <c r="C29" s="213">
        <v>0</v>
      </c>
      <c r="D29" s="115">
        <v>162973</v>
      </c>
      <c r="E29" s="213">
        <v>0</v>
      </c>
      <c r="F29" s="213">
        <v>337856.55</v>
      </c>
      <c r="G29" s="213">
        <v>9038</v>
      </c>
      <c r="H29" s="213">
        <v>67829.63</v>
      </c>
    </row>
    <row r="30" spans="2:8" ht="12.75">
      <c r="B30" s="213"/>
      <c r="C30" s="213"/>
      <c r="D30" s="49"/>
      <c r="E30" s="213"/>
      <c r="F30" s="213"/>
      <c r="G30" s="213"/>
      <c r="H30" s="213"/>
    </row>
    <row r="31" spans="1:8" ht="12.75">
      <c r="A31" t="s">
        <v>16</v>
      </c>
      <c r="B31" s="213">
        <v>0</v>
      </c>
      <c r="C31" s="213">
        <v>0</v>
      </c>
      <c r="D31" s="115">
        <v>28351781</v>
      </c>
      <c r="E31" s="213">
        <v>1200000</v>
      </c>
      <c r="F31" s="213">
        <v>266059.98</v>
      </c>
      <c r="G31" s="213">
        <v>425739.81</v>
      </c>
      <c r="H31" s="213">
        <v>1640052.66</v>
      </c>
    </row>
    <row r="32" spans="1:8" ht="12.75">
      <c r="A32" t="s">
        <v>17</v>
      </c>
      <c r="B32" s="213">
        <v>24906.22</v>
      </c>
      <c r="C32" s="213">
        <v>0</v>
      </c>
      <c r="D32" s="115">
        <v>30078840</v>
      </c>
      <c r="E32" s="213">
        <v>900000</v>
      </c>
      <c r="F32" s="213">
        <v>430732.89</v>
      </c>
      <c r="G32" s="213">
        <v>139953.71</v>
      </c>
      <c r="H32" s="213">
        <v>3001283.35</v>
      </c>
    </row>
    <row r="33" spans="1:8" ht="12.75">
      <c r="A33" t="s">
        <v>18</v>
      </c>
      <c r="B33" s="213">
        <v>0</v>
      </c>
      <c r="C33" s="213">
        <v>0</v>
      </c>
      <c r="D33" s="115">
        <v>222676</v>
      </c>
      <c r="E33" s="213">
        <v>0</v>
      </c>
      <c r="F33" s="213">
        <v>323333</v>
      </c>
      <c r="G33" s="213">
        <v>18987.05</v>
      </c>
      <c r="H33" s="213">
        <v>329049.45</v>
      </c>
    </row>
    <row r="34" spans="1:8" ht="12.75">
      <c r="A34" t="s">
        <v>19</v>
      </c>
      <c r="B34" s="219">
        <v>3060.24</v>
      </c>
      <c r="C34" s="213">
        <v>0</v>
      </c>
      <c r="D34" s="115">
        <v>343413</v>
      </c>
      <c r="E34" s="213">
        <v>0</v>
      </c>
      <c r="F34" s="213">
        <v>417638.35</v>
      </c>
      <c r="G34" s="213">
        <v>1713.91</v>
      </c>
      <c r="H34" s="213">
        <v>322689.04</v>
      </c>
    </row>
    <row r="35" spans="1:8" ht="12.75">
      <c r="A35" t="s">
        <v>20</v>
      </c>
      <c r="B35" s="213">
        <v>0</v>
      </c>
      <c r="C35" s="213">
        <v>0</v>
      </c>
      <c r="D35" s="115">
        <v>265264</v>
      </c>
      <c r="E35" s="213">
        <v>0</v>
      </c>
      <c r="F35" s="213">
        <v>0</v>
      </c>
      <c r="G35" s="213">
        <v>10331.59</v>
      </c>
      <c r="H35" s="213">
        <v>92609.57</v>
      </c>
    </row>
    <row r="36" spans="2:8" ht="12.75">
      <c r="B36" s="213"/>
      <c r="C36" s="213"/>
      <c r="D36" s="49"/>
      <c r="E36" s="213"/>
      <c r="F36" s="213"/>
      <c r="G36" s="213"/>
      <c r="H36" s="213"/>
    </row>
    <row r="37" spans="1:8" ht="12.75">
      <c r="A37" t="s">
        <v>21</v>
      </c>
      <c r="B37" s="213">
        <v>0</v>
      </c>
      <c r="C37" s="213">
        <v>0</v>
      </c>
      <c r="D37" s="115">
        <v>327977</v>
      </c>
      <c r="E37" s="213">
        <v>5000</v>
      </c>
      <c r="F37" s="213">
        <v>33755.31</v>
      </c>
      <c r="G37" s="213">
        <v>349846.46</v>
      </c>
      <c r="H37" s="213">
        <v>0</v>
      </c>
    </row>
    <row r="38" spans="1:8" ht="12.75">
      <c r="A38" t="s">
        <v>22</v>
      </c>
      <c r="B38" s="213">
        <v>6701.82</v>
      </c>
      <c r="C38" s="213">
        <v>0</v>
      </c>
      <c r="D38" s="115">
        <v>944584</v>
      </c>
      <c r="E38" s="213">
        <v>160000</v>
      </c>
      <c r="F38" s="213">
        <v>441833.33</v>
      </c>
      <c r="G38" s="213">
        <v>35533</v>
      </c>
      <c r="H38" s="213">
        <f>353211.58-48117</f>
        <v>305094.58</v>
      </c>
    </row>
    <row r="39" spans="1:8" ht="12.75">
      <c r="A39" t="s">
        <v>23</v>
      </c>
      <c r="B39" s="213">
        <v>0</v>
      </c>
      <c r="C39" s="213">
        <v>0</v>
      </c>
      <c r="D39" s="115">
        <v>1232672.5</v>
      </c>
      <c r="E39" s="213">
        <v>40000</v>
      </c>
      <c r="F39" s="213">
        <v>0</v>
      </c>
      <c r="G39" s="213">
        <v>379114.57</v>
      </c>
      <c r="H39" s="213">
        <v>493668.46</v>
      </c>
    </row>
    <row r="40" spans="1:8" ht="12.75">
      <c r="A40" s="13" t="s">
        <v>24</v>
      </c>
      <c r="B40" s="224">
        <v>0</v>
      </c>
      <c r="C40" s="224">
        <v>0</v>
      </c>
      <c r="D40" s="217">
        <v>387999</v>
      </c>
      <c r="E40" s="224">
        <v>0</v>
      </c>
      <c r="F40" s="224">
        <v>107979.35</v>
      </c>
      <c r="G40" s="224">
        <v>348192.63</v>
      </c>
      <c r="H40" s="224">
        <v>11911.39</v>
      </c>
    </row>
    <row r="42" spans="2:7" ht="12.75">
      <c r="B42" s="124"/>
      <c r="C42" s="124"/>
      <c r="D42" s="124"/>
      <c r="E42" s="124"/>
      <c r="F42" s="124"/>
      <c r="G42" s="124"/>
    </row>
    <row r="43" spans="2:4" ht="12.75">
      <c r="B43" s="124"/>
      <c r="C43" s="124"/>
      <c r="D43" s="124"/>
    </row>
  </sheetData>
  <sheetProtection password="CAF5" sheet="1"/>
  <mergeCells count="10">
    <mergeCell ref="A1:H1"/>
    <mergeCell ref="A7:A10"/>
    <mergeCell ref="E7:E10"/>
    <mergeCell ref="D7:D10"/>
    <mergeCell ref="H7:H10"/>
    <mergeCell ref="A5:H5"/>
    <mergeCell ref="A6:H6"/>
    <mergeCell ref="A3:H3"/>
    <mergeCell ref="F7:F10"/>
    <mergeCell ref="G7:G10"/>
  </mergeCells>
  <printOptions horizontalCentered="1"/>
  <pageMargins left="0.27" right="0.25" top="0.83" bottom="1" header="0.67" footer="0.5"/>
  <pageSetup fitToHeight="1" fitToWidth="1" horizontalDpi="600" verticalDpi="600" orientation="landscape" scale="95" r:id="rId1"/>
  <headerFooter alignWithMargins="0">
    <oddHeader>&amp;R&amp;"Arial,Bold"&amp;18
</oddHeader>
    <oddFooter>&amp;L&amp;"Arial,Italic"&amp;9MSDE-DBS  10 / 2008&amp;C- 10 -&amp;R&amp;"Arial,Italic"&amp;9Selected Financial Data-Part 1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21.8515625" style="0" customWidth="1"/>
    <col min="2" max="2" width="14.8515625" style="0" customWidth="1"/>
    <col min="3" max="3" width="5.421875" style="0" customWidth="1"/>
    <col min="4" max="4" width="18.28125" style="0" customWidth="1"/>
    <col min="5" max="5" width="5.140625" style="0" customWidth="1"/>
    <col min="6" max="6" width="18.00390625" style="0" customWidth="1"/>
    <col min="7" max="7" width="8.140625" style="0" customWidth="1"/>
    <col min="8" max="8" width="11.28125" style="0" customWidth="1"/>
    <col min="9" max="9" width="8.00390625" style="0" customWidth="1"/>
    <col min="10" max="10" width="11.28125" style="0" bestFit="1" customWidth="1"/>
  </cols>
  <sheetData>
    <row r="1" spans="1:10" ht="12.75">
      <c r="A1" s="411" t="s">
        <v>128</v>
      </c>
      <c r="B1" s="411"/>
      <c r="C1" s="411"/>
      <c r="D1" s="411"/>
      <c r="E1" s="411"/>
      <c r="F1" s="411"/>
      <c r="G1" s="411"/>
      <c r="H1" s="411"/>
      <c r="I1" s="411"/>
      <c r="J1" s="411"/>
    </row>
    <row r="3" spans="1:10" ht="12.75">
      <c r="A3" s="410" t="s">
        <v>246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ht="13.5" thickBo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5" ht="15" customHeight="1" thickTop="1">
      <c r="A5" s="3"/>
      <c r="B5" s="47" t="s">
        <v>119</v>
      </c>
      <c r="C5" s="47"/>
      <c r="D5" s="448"/>
      <c r="E5" s="448"/>
      <c r="F5" s="448"/>
      <c r="G5" s="448"/>
      <c r="H5" s="448"/>
      <c r="I5" s="4"/>
      <c r="K5" s="3"/>
      <c r="L5" s="3"/>
      <c r="M5" s="3"/>
      <c r="N5" s="3"/>
      <c r="O5" s="3"/>
    </row>
    <row r="6" spans="1:15" ht="12.75">
      <c r="A6" s="3" t="s">
        <v>85</v>
      </c>
      <c r="B6" s="448" t="s">
        <v>41</v>
      </c>
      <c r="C6" s="448"/>
      <c r="D6" s="448"/>
      <c r="E6" s="448"/>
      <c r="F6" s="4" t="s">
        <v>36</v>
      </c>
      <c r="G6" s="4"/>
      <c r="H6" s="4"/>
      <c r="I6" s="4"/>
      <c r="J6" s="4" t="s">
        <v>45</v>
      </c>
      <c r="K6" s="3"/>
      <c r="L6" s="3"/>
      <c r="M6" s="3"/>
      <c r="N6" s="3"/>
      <c r="O6" s="3"/>
    </row>
    <row r="7" spans="1:15" ht="12.75">
      <c r="A7" s="3" t="s">
        <v>35</v>
      </c>
      <c r="B7" s="448" t="s">
        <v>42</v>
      </c>
      <c r="C7" s="448"/>
      <c r="D7" s="448"/>
      <c r="E7" s="448"/>
      <c r="F7" s="4" t="s">
        <v>83</v>
      </c>
      <c r="G7" s="4"/>
      <c r="H7" s="4"/>
      <c r="I7" s="4"/>
      <c r="J7" s="4" t="s">
        <v>42</v>
      </c>
      <c r="K7" s="3"/>
      <c r="L7" s="3"/>
      <c r="M7" s="3"/>
      <c r="N7" s="3"/>
      <c r="O7" s="3"/>
    </row>
    <row r="8" spans="1:10" ht="13.5" thickBot="1">
      <c r="A8" s="7" t="s">
        <v>144</v>
      </c>
      <c r="B8" s="449" t="s">
        <v>52</v>
      </c>
      <c r="C8" s="449"/>
      <c r="D8" s="449"/>
      <c r="E8" s="449"/>
      <c r="F8" s="8" t="s">
        <v>52</v>
      </c>
      <c r="G8" s="8"/>
      <c r="H8" s="8"/>
      <c r="I8" s="8"/>
      <c r="J8" s="8" t="s">
        <v>52</v>
      </c>
    </row>
    <row r="9" spans="1:10" ht="12.75">
      <c r="A9" s="3" t="s">
        <v>0</v>
      </c>
      <c r="B9" s="341">
        <f>SUM(B11:B38)</f>
        <v>7203992.430000001</v>
      </c>
      <c r="C9" s="342"/>
      <c r="D9" s="343"/>
      <c r="E9" s="342"/>
      <c r="F9" s="341">
        <f>SUM(F11:F38)</f>
        <v>257516020.51</v>
      </c>
      <c r="G9" s="48"/>
      <c r="H9" s="48"/>
      <c r="I9" s="48"/>
      <c r="J9" s="48">
        <f>SUM(J11:J38)</f>
        <v>0</v>
      </c>
    </row>
    <row r="10" spans="1:10" ht="12.75">
      <c r="A10" s="3"/>
      <c r="B10" s="213"/>
      <c r="C10" s="213"/>
      <c r="D10" s="213"/>
      <c r="E10" s="213"/>
      <c r="F10" s="213"/>
      <c r="G10" s="5"/>
      <c r="H10" s="5"/>
      <c r="I10" s="5"/>
      <c r="J10" s="5"/>
    </row>
    <row r="11" spans="1:10" ht="12.75">
      <c r="A11" t="s">
        <v>1</v>
      </c>
      <c r="B11" s="213">
        <v>203919.47</v>
      </c>
      <c r="C11" s="213"/>
      <c r="D11" s="343"/>
      <c r="E11" s="213"/>
      <c r="F11" s="213">
        <v>19115007</v>
      </c>
      <c r="G11" s="5"/>
      <c r="H11" s="5"/>
      <c r="I11" s="5"/>
      <c r="J11" s="5">
        <v>0</v>
      </c>
    </row>
    <row r="12" spans="1:10" ht="12.75">
      <c r="A12" t="s">
        <v>2</v>
      </c>
      <c r="B12" s="213">
        <v>387296</v>
      </c>
      <c r="C12" s="213"/>
      <c r="D12" s="343"/>
      <c r="E12" s="213"/>
      <c r="F12" s="213">
        <v>16694255</v>
      </c>
      <c r="G12" s="5"/>
      <c r="H12" s="5"/>
      <c r="I12" s="5"/>
      <c r="J12" s="5">
        <v>0</v>
      </c>
    </row>
    <row r="13" spans="1:10" ht="12.75">
      <c r="A13" t="s">
        <v>3</v>
      </c>
      <c r="B13" s="213">
        <v>938041.84</v>
      </c>
      <c r="C13" s="213"/>
      <c r="D13" s="343"/>
      <c r="E13" s="213"/>
      <c r="F13" s="213">
        <v>19606633.42</v>
      </c>
      <c r="G13" s="5"/>
      <c r="H13" s="5"/>
      <c r="I13" s="5"/>
      <c r="J13" s="5">
        <v>0</v>
      </c>
    </row>
    <row r="14" spans="1:10" ht="12.75">
      <c r="A14" t="s">
        <v>4</v>
      </c>
      <c r="B14" s="213">
        <v>906684</v>
      </c>
      <c r="C14" s="213"/>
      <c r="D14" s="343"/>
      <c r="E14" s="213"/>
      <c r="F14" s="213">
        <v>37290594</v>
      </c>
      <c r="G14" s="5"/>
      <c r="H14" s="5"/>
      <c r="I14" s="5"/>
      <c r="J14" s="5">
        <v>0</v>
      </c>
    </row>
    <row r="15" spans="1:10" ht="12.75">
      <c r="A15" t="s">
        <v>5</v>
      </c>
      <c r="B15" s="213">
        <v>36628.19</v>
      </c>
      <c r="C15" s="213"/>
      <c r="D15" s="343"/>
      <c r="E15" s="213"/>
      <c r="F15" s="213">
        <v>2637049.14</v>
      </c>
      <c r="G15" s="5"/>
      <c r="H15" s="5"/>
      <c r="I15" s="5"/>
      <c r="J15" s="5">
        <v>0</v>
      </c>
    </row>
    <row r="16" spans="2:10" ht="12.75">
      <c r="B16" s="213"/>
      <c r="C16" s="213"/>
      <c r="D16" s="213"/>
      <c r="E16" s="213"/>
      <c r="F16" s="213"/>
      <c r="G16" s="5"/>
      <c r="H16" s="5"/>
      <c r="I16" s="5"/>
      <c r="J16" s="5"/>
    </row>
    <row r="17" spans="1:10" ht="12.75">
      <c r="A17" t="s">
        <v>6</v>
      </c>
      <c r="B17" s="213">
        <v>77707.94</v>
      </c>
      <c r="C17" s="213"/>
      <c r="D17" s="343"/>
      <c r="E17" s="213"/>
      <c r="F17" s="213">
        <v>5521214.84</v>
      </c>
      <c r="G17" s="5"/>
      <c r="H17" s="5"/>
      <c r="I17" s="5"/>
      <c r="J17" s="5">
        <v>0</v>
      </c>
    </row>
    <row r="18" spans="1:10" ht="12.75">
      <c r="A18" t="s">
        <v>7</v>
      </c>
      <c r="B18" s="213">
        <v>52745.08</v>
      </c>
      <c r="C18" s="213"/>
      <c r="D18" s="343"/>
      <c r="E18" s="213"/>
      <c r="F18" s="213">
        <v>8978358.17</v>
      </c>
      <c r="G18" s="5"/>
      <c r="H18" s="5"/>
      <c r="I18" s="5"/>
      <c r="J18" s="5">
        <v>0</v>
      </c>
    </row>
    <row r="19" spans="1:10" ht="12.75">
      <c r="A19" t="s">
        <v>8</v>
      </c>
      <c r="B19" s="213">
        <v>226193.81</v>
      </c>
      <c r="C19" s="213"/>
      <c r="D19" s="343"/>
      <c r="E19" s="213"/>
      <c r="F19" s="213">
        <v>14300564.14</v>
      </c>
      <c r="G19" s="5"/>
      <c r="H19" s="5"/>
      <c r="I19" s="5"/>
      <c r="J19" s="5">
        <v>0</v>
      </c>
    </row>
    <row r="20" spans="1:10" ht="12.75">
      <c r="A20" t="s">
        <v>9</v>
      </c>
      <c r="B20" s="213">
        <v>272116.14</v>
      </c>
      <c r="C20" s="213"/>
      <c r="D20" s="343"/>
      <c r="E20" s="213"/>
      <c r="F20" s="213">
        <v>6756677</v>
      </c>
      <c r="G20" s="5"/>
      <c r="H20" s="5"/>
      <c r="I20" s="5"/>
      <c r="J20" s="5">
        <v>0</v>
      </c>
    </row>
    <row r="21" spans="1:10" ht="12.75">
      <c r="A21" t="s">
        <v>10</v>
      </c>
      <c r="B21" s="213">
        <v>84192</v>
      </c>
      <c r="C21" s="213"/>
      <c r="D21" s="343"/>
      <c r="E21" s="213"/>
      <c r="F21" s="213">
        <v>484037</v>
      </c>
      <c r="G21" s="5"/>
      <c r="H21" s="5"/>
      <c r="I21" s="5"/>
      <c r="J21" s="5">
        <v>0</v>
      </c>
    </row>
    <row r="22" spans="2:10" ht="12.75">
      <c r="B22" s="213"/>
      <c r="C22" s="213"/>
      <c r="D22" s="213"/>
      <c r="E22" s="213"/>
      <c r="F22" s="213"/>
      <c r="G22" s="5"/>
      <c r="H22" s="5"/>
      <c r="I22" s="5"/>
      <c r="J22" s="5"/>
    </row>
    <row r="23" spans="1:10" ht="12.75">
      <c r="A23" t="s">
        <v>11</v>
      </c>
      <c r="B23" s="213">
        <v>169720</v>
      </c>
      <c r="C23" s="213"/>
      <c r="D23" s="343"/>
      <c r="E23" s="213"/>
      <c r="F23" s="213">
        <v>18591345</v>
      </c>
      <c r="G23" s="5"/>
      <c r="H23" s="5"/>
      <c r="I23" s="5"/>
      <c r="J23" s="5">
        <v>0</v>
      </c>
    </row>
    <row r="24" spans="1:10" ht="12.75">
      <c r="A24" t="s">
        <v>12</v>
      </c>
      <c r="B24" s="213">
        <v>109105</v>
      </c>
      <c r="C24" s="213"/>
      <c r="D24" s="343"/>
      <c r="E24" s="213"/>
      <c r="F24" s="213">
        <v>0</v>
      </c>
      <c r="G24" s="5"/>
      <c r="H24" s="5"/>
      <c r="I24" s="5"/>
      <c r="J24" s="5">
        <v>0</v>
      </c>
    </row>
    <row r="25" spans="1:10" ht="12.75">
      <c r="A25" t="s">
        <v>13</v>
      </c>
      <c r="B25" s="213">
        <v>292985.79</v>
      </c>
      <c r="C25" s="213"/>
      <c r="D25" s="343"/>
      <c r="E25" s="213"/>
      <c r="F25" s="213">
        <v>7648277</v>
      </c>
      <c r="G25" s="5"/>
      <c r="H25" s="5"/>
      <c r="I25" s="5"/>
      <c r="J25" s="5">
        <v>0</v>
      </c>
    </row>
    <row r="26" spans="1:10" ht="12.75">
      <c r="A26" t="s">
        <v>14</v>
      </c>
      <c r="B26" s="213">
        <v>92396</v>
      </c>
      <c r="C26" s="213"/>
      <c r="D26" s="343"/>
      <c r="E26" s="213"/>
      <c r="F26" s="213">
        <v>3175358</v>
      </c>
      <c r="G26" s="5"/>
      <c r="H26" s="5"/>
      <c r="I26" s="5"/>
      <c r="J26" s="5">
        <v>0</v>
      </c>
    </row>
    <row r="27" spans="1:10" ht="12.75">
      <c r="A27" t="s">
        <v>15</v>
      </c>
      <c r="B27" s="213">
        <v>46014</v>
      </c>
      <c r="C27" s="213"/>
      <c r="D27" s="343"/>
      <c r="E27" s="213"/>
      <c r="F27" s="213">
        <v>2633584</v>
      </c>
      <c r="G27" s="5"/>
      <c r="H27" s="5"/>
      <c r="I27" s="5"/>
      <c r="J27" s="5">
        <v>0</v>
      </c>
    </row>
    <row r="28" spans="2:10" ht="12.75">
      <c r="B28" s="213"/>
      <c r="C28" s="213"/>
      <c r="D28" s="213"/>
      <c r="E28" s="213"/>
      <c r="F28" s="213"/>
      <c r="G28" s="5"/>
      <c r="H28" s="5"/>
      <c r="I28" s="5"/>
      <c r="J28" s="5"/>
    </row>
    <row r="29" spans="1:10" ht="12.75">
      <c r="A29" t="s">
        <v>16</v>
      </c>
      <c r="B29" s="213">
        <v>1017319.9</v>
      </c>
      <c r="C29" s="213"/>
      <c r="D29" s="343"/>
      <c r="E29" s="213"/>
      <c r="F29" s="213">
        <v>41858222.33</v>
      </c>
      <c r="G29" s="5"/>
      <c r="H29" s="5"/>
      <c r="I29" s="5"/>
      <c r="J29" s="5">
        <v>0</v>
      </c>
    </row>
    <row r="30" spans="1:10" ht="12.75">
      <c r="A30" t="s">
        <v>17</v>
      </c>
      <c r="B30" s="213">
        <v>1478651</v>
      </c>
      <c r="C30" s="213"/>
      <c r="D30" s="343"/>
      <c r="E30" s="213"/>
      <c r="F30" s="213">
        <v>13139813</v>
      </c>
      <c r="G30" s="5"/>
      <c r="H30" s="5"/>
      <c r="I30" s="5"/>
      <c r="J30" s="5">
        <v>0</v>
      </c>
    </row>
    <row r="31" spans="1:10" ht="12.75">
      <c r="A31" t="s">
        <v>18</v>
      </c>
      <c r="B31" s="213">
        <v>18786.11</v>
      </c>
      <c r="C31" s="213"/>
      <c r="D31" s="343"/>
      <c r="E31" s="213"/>
      <c r="F31" s="213">
        <v>4364716</v>
      </c>
      <c r="G31" s="5"/>
      <c r="H31" s="5"/>
      <c r="I31" s="5"/>
      <c r="J31" s="5">
        <v>0</v>
      </c>
    </row>
    <row r="32" spans="1:10" ht="12.75">
      <c r="A32" t="s">
        <v>19</v>
      </c>
      <c r="B32" s="213">
        <v>263151.03</v>
      </c>
      <c r="C32" s="213"/>
      <c r="D32" s="343"/>
      <c r="E32" s="213"/>
      <c r="F32" s="213">
        <v>6233005.2</v>
      </c>
      <c r="G32" s="5"/>
      <c r="H32" s="5"/>
      <c r="I32" s="5"/>
      <c r="J32" s="5">
        <v>0</v>
      </c>
    </row>
    <row r="33" spans="1:10" ht="12.75">
      <c r="A33" t="s">
        <v>20</v>
      </c>
      <c r="B33" s="213">
        <v>83569.92</v>
      </c>
      <c r="C33" s="213"/>
      <c r="D33" s="343"/>
      <c r="E33" s="213"/>
      <c r="F33" s="213">
        <v>12592182</v>
      </c>
      <c r="G33" s="5"/>
      <c r="H33" s="5"/>
      <c r="I33" s="5"/>
      <c r="J33" s="5">
        <v>0</v>
      </c>
    </row>
    <row r="34" spans="2:10" ht="12.75">
      <c r="B34" s="213"/>
      <c r="C34" s="213"/>
      <c r="D34" s="213"/>
      <c r="E34" s="213"/>
      <c r="F34" s="213"/>
      <c r="G34" s="5"/>
      <c r="H34" s="5"/>
      <c r="I34" s="5"/>
      <c r="J34" s="5"/>
    </row>
    <row r="35" spans="1:10" ht="12.75">
      <c r="A35" t="s">
        <v>21</v>
      </c>
      <c r="B35" s="213">
        <v>79833.78</v>
      </c>
      <c r="C35" s="213"/>
      <c r="D35" s="343"/>
      <c r="E35" s="213"/>
      <c r="F35" s="213">
        <v>132885</v>
      </c>
      <c r="G35" s="5"/>
      <c r="H35" s="5"/>
      <c r="I35" s="5"/>
      <c r="J35" s="5">
        <v>0</v>
      </c>
    </row>
    <row r="36" spans="1:10" ht="12.75">
      <c r="A36" t="s">
        <v>22</v>
      </c>
      <c r="B36" s="213">
        <v>138088</v>
      </c>
      <c r="C36" s="213"/>
      <c r="D36" s="343"/>
      <c r="E36" s="213"/>
      <c r="F36" s="213">
        <v>2220791</v>
      </c>
      <c r="G36" s="5"/>
      <c r="H36" s="5"/>
      <c r="I36" s="5"/>
      <c r="J36" s="5">
        <v>0</v>
      </c>
    </row>
    <row r="37" spans="1:10" ht="12.75">
      <c r="A37" t="s">
        <v>23</v>
      </c>
      <c r="B37" s="213">
        <v>192953.51</v>
      </c>
      <c r="C37" s="213"/>
      <c r="D37" s="343"/>
      <c r="E37" s="213"/>
      <c r="F37" s="213">
        <v>7122643.88</v>
      </c>
      <c r="G37" s="5"/>
      <c r="H37" s="5"/>
      <c r="I37" s="5"/>
      <c r="J37" s="5">
        <v>0</v>
      </c>
    </row>
    <row r="38" spans="1:10" ht="12.75">
      <c r="A38" s="13" t="s">
        <v>24</v>
      </c>
      <c r="B38" s="224">
        <v>35893.92</v>
      </c>
      <c r="C38" s="224"/>
      <c r="D38" s="344"/>
      <c r="E38" s="224"/>
      <c r="F38" s="224">
        <v>6418808.39</v>
      </c>
      <c r="G38" s="15"/>
      <c r="H38" s="15"/>
      <c r="I38" s="15"/>
      <c r="J38" s="15">
        <v>0</v>
      </c>
    </row>
    <row r="39" spans="6:7" ht="12.75">
      <c r="F39" s="5"/>
      <c r="G39" s="5"/>
    </row>
    <row r="40" spans="6:7" ht="12.75">
      <c r="F40" s="5"/>
      <c r="G40" s="5"/>
    </row>
    <row r="41" spans="6:7" ht="12.75">
      <c r="F41" s="5"/>
      <c r="G41" s="5"/>
    </row>
  </sheetData>
  <sheetProtection password="CAF5" sheet="1" objects="1" scenarios="1"/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rintOptions horizontalCentered="1"/>
  <pageMargins left="0.56" right="0.55" top="0.83" bottom="1" header="0.67" footer="0.5"/>
  <pageSetup fitToHeight="1" fitToWidth="1" horizontalDpi="600" verticalDpi="600" orientation="landscape" scale="96" r:id="rId1"/>
  <headerFooter alignWithMargins="0">
    <oddFooter>&amp;L&amp;"Arial,Italic"&amp;9MSDE-DBS  10 / 2008&amp;C- 11 -&amp;R&amp;"Arial,Italic"&amp;9Selected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zoomScalePageLayoutView="0" workbookViewId="0" topLeftCell="B1">
      <selection activeCell="D12" sqref="D12"/>
    </sheetView>
  </sheetViews>
  <sheetFormatPr defaultColWidth="9.140625" defaultRowHeight="12.75"/>
  <cols>
    <col min="1" max="1" width="17.00390625" style="3" customWidth="1"/>
    <col min="2" max="2" width="16.00390625" style="3" bestFit="1" customWidth="1"/>
    <col min="3" max="3" width="13.8515625" style="3" bestFit="1" customWidth="1"/>
    <col min="4" max="4" width="14.7109375" style="39" customWidth="1"/>
    <col min="5" max="5" width="12.8515625" style="3" bestFit="1" customWidth="1"/>
    <col min="6" max="6" width="12.8515625" style="3" customWidth="1"/>
    <col min="7" max="7" width="10.00390625" style="3" customWidth="1"/>
    <col min="8" max="8" width="2.140625" style="3" customWidth="1"/>
    <col min="9" max="9" width="16.421875" style="3" customWidth="1"/>
    <col min="10" max="10" width="10.00390625" style="33" customWidth="1"/>
    <col min="11" max="11" width="14.140625" style="33" customWidth="1"/>
    <col min="12" max="12" width="12.57421875" style="3" customWidth="1"/>
    <col min="13" max="13" width="14.7109375" style="3" customWidth="1"/>
    <col min="14" max="14" width="12.421875" style="3" customWidth="1"/>
    <col min="15" max="15" width="14.00390625" style="3" customWidth="1"/>
    <col min="16" max="16384" width="9.140625" style="3" customWidth="1"/>
  </cols>
  <sheetData>
    <row r="1" spans="1:12" ht="12.75">
      <c r="A1" s="448" t="s">
        <v>129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</row>
    <row r="2" spans="1:12" ht="12.75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</row>
    <row r="3" spans="1:12" ht="12.75">
      <c r="A3" s="448" t="s">
        <v>243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</row>
    <row r="4" spans="9:12" ht="13.5" thickBot="1">
      <c r="I4" s="12"/>
      <c r="J4" s="53"/>
      <c r="K4" s="53"/>
      <c r="L4" s="12"/>
    </row>
    <row r="5" spans="1:12" ht="15" customHeight="1" thickTop="1">
      <c r="A5" s="6"/>
      <c r="B5" s="6"/>
      <c r="C5" s="18"/>
      <c r="D5" s="90"/>
      <c r="E5" s="452"/>
      <c r="F5" s="452"/>
      <c r="G5" s="452"/>
      <c r="H5" s="18"/>
      <c r="I5" s="388" t="s">
        <v>60</v>
      </c>
      <c r="J5" s="388"/>
      <c r="K5" s="388"/>
      <c r="L5" s="388"/>
    </row>
    <row r="6" spans="3:12" ht="12.75">
      <c r="C6" s="4"/>
      <c r="D6" s="91"/>
      <c r="E6" s="391" t="s">
        <v>231</v>
      </c>
      <c r="F6" s="391"/>
      <c r="G6" s="391"/>
      <c r="H6" s="4"/>
      <c r="I6" s="450" t="s">
        <v>61</v>
      </c>
      <c r="J6" s="450"/>
      <c r="K6" s="450"/>
      <c r="L6" s="450"/>
    </row>
    <row r="7" spans="1:12" ht="12.75" customHeight="1">
      <c r="A7" s="3" t="s">
        <v>85</v>
      </c>
      <c r="B7" s="4" t="s">
        <v>47</v>
      </c>
      <c r="C7" s="74" t="s">
        <v>146</v>
      </c>
      <c r="D7" s="451" t="s">
        <v>209</v>
      </c>
      <c r="E7" s="74" t="s">
        <v>147</v>
      </c>
      <c r="F7" s="74" t="s">
        <v>150</v>
      </c>
      <c r="G7" s="74" t="s">
        <v>76</v>
      </c>
      <c r="H7" s="4"/>
      <c r="I7" s="74" t="s">
        <v>67</v>
      </c>
      <c r="J7" s="178"/>
      <c r="K7" s="178"/>
      <c r="L7" s="74" t="s">
        <v>161</v>
      </c>
    </row>
    <row r="8" spans="1:12" ht="12.75">
      <c r="A8" s="3" t="s">
        <v>35</v>
      </c>
      <c r="B8" s="4" t="s">
        <v>55</v>
      </c>
      <c r="C8" s="74" t="s">
        <v>35</v>
      </c>
      <c r="D8" s="434"/>
      <c r="E8" s="74" t="s">
        <v>75</v>
      </c>
      <c r="F8" s="74" t="s">
        <v>48</v>
      </c>
      <c r="G8" s="74" t="s">
        <v>77</v>
      </c>
      <c r="H8" s="4"/>
      <c r="I8" s="74" t="s">
        <v>62</v>
      </c>
      <c r="J8" s="178"/>
      <c r="K8" s="178" t="s">
        <v>64</v>
      </c>
      <c r="L8" s="74" t="s">
        <v>33</v>
      </c>
    </row>
    <row r="9" spans="1:12" ht="13.5" thickBot="1">
      <c r="A9" s="7" t="s">
        <v>144</v>
      </c>
      <c r="B9" s="8" t="s">
        <v>49</v>
      </c>
      <c r="C9" s="81" t="s">
        <v>59</v>
      </c>
      <c r="D9" s="435"/>
      <c r="E9" s="81" t="s">
        <v>68</v>
      </c>
      <c r="F9" s="81" t="s">
        <v>66</v>
      </c>
      <c r="G9" s="81" t="s">
        <v>35</v>
      </c>
      <c r="H9" s="8"/>
      <c r="I9" s="81" t="s">
        <v>169</v>
      </c>
      <c r="J9" s="55" t="s">
        <v>57</v>
      </c>
      <c r="K9" s="55" t="s">
        <v>65</v>
      </c>
      <c r="L9" s="81" t="s">
        <v>162</v>
      </c>
    </row>
    <row r="10" spans="1:12" s="17" customFormat="1" ht="12.75">
      <c r="A10" s="54" t="s">
        <v>0</v>
      </c>
      <c r="B10" s="107">
        <f aca="true" t="shared" si="0" ref="B10:L10">SUM(B12:B39)</f>
        <v>674335003.5000002</v>
      </c>
      <c r="C10" s="66">
        <f t="shared" si="0"/>
        <v>4270425.260000001</v>
      </c>
      <c r="D10" s="66">
        <f t="shared" si="0"/>
        <v>6433061.539999998</v>
      </c>
      <c r="E10" s="66">
        <f t="shared" si="0"/>
        <v>7837312.630000001</v>
      </c>
      <c r="F10" s="66">
        <f t="shared" si="0"/>
        <v>225663.06999999998</v>
      </c>
      <c r="G10" s="222">
        <f t="shared" si="0"/>
        <v>725080.38</v>
      </c>
      <c r="H10" s="17">
        <f t="shared" si="0"/>
        <v>0</v>
      </c>
      <c r="I10" s="222">
        <f t="shared" si="0"/>
        <v>162120235.36</v>
      </c>
      <c r="J10" s="222">
        <f t="shared" si="0"/>
        <v>326011.71</v>
      </c>
      <c r="K10" s="222">
        <f t="shared" si="0"/>
        <v>2853444.86</v>
      </c>
      <c r="L10" s="222">
        <f t="shared" si="0"/>
        <v>734665.0999999999</v>
      </c>
    </row>
    <row r="11" spans="2:12" ht="12.75">
      <c r="B11" s="40"/>
      <c r="C11" s="50"/>
      <c r="D11" s="92"/>
      <c r="E11" s="50"/>
      <c r="F11" s="50"/>
      <c r="G11" s="50"/>
      <c r="H11" s="50"/>
      <c r="I11" s="50"/>
      <c r="J11" s="223"/>
      <c r="K11" s="223"/>
      <c r="L11" s="223"/>
    </row>
    <row r="12" spans="1:38" ht="12.75">
      <c r="A12" s="3" t="s">
        <v>1</v>
      </c>
      <c r="B12" s="2">
        <f>SUM(C12:L12)+SUM(fed2!B12:J12)+SUM(fed3!B12:K12)+SUM(fed4!B12:K12)+SUM(fed5!B11:H11)</f>
        <v>11464744.04</v>
      </c>
      <c r="C12" s="120">
        <v>98053</v>
      </c>
      <c r="D12" s="89">
        <v>0</v>
      </c>
      <c r="E12" s="120">
        <v>153239</v>
      </c>
      <c r="F12" s="120">
        <v>5954.86</v>
      </c>
      <c r="G12" s="221">
        <v>55000</v>
      </c>
      <c r="H12" s="89"/>
      <c r="I12" s="218">
        <v>2730845.75</v>
      </c>
      <c r="J12" s="221">
        <v>0</v>
      </c>
      <c r="K12" s="221">
        <v>0</v>
      </c>
      <c r="L12" s="221">
        <v>56129.85</v>
      </c>
      <c r="M12" s="2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2.75">
      <c r="A13" s="3" t="s">
        <v>2</v>
      </c>
      <c r="B13" s="2">
        <f>SUM(C13:L13)+SUM(fed2!B13:J13)+SUM(fed3!B13:K13)+SUM(fed4!B13:K13)+SUM(fed5!B12:H12)</f>
        <v>45141908.019999996</v>
      </c>
      <c r="C13" s="89">
        <v>686949</v>
      </c>
      <c r="D13" s="120">
        <v>210974.6</v>
      </c>
      <c r="E13" s="118">
        <v>0</v>
      </c>
      <c r="F13" s="118">
        <v>0</v>
      </c>
      <c r="G13" s="129">
        <v>0</v>
      </c>
      <c r="H13" s="89"/>
      <c r="I13" s="218">
        <v>9372233.270000001</v>
      </c>
      <c r="J13" s="221">
        <v>0</v>
      </c>
      <c r="K13" s="221">
        <v>0</v>
      </c>
      <c r="L13" s="221">
        <v>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  <row r="14" spans="1:38" ht="12.75">
      <c r="A14" s="3" t="s">
        <v>3</v>
      </c>
      <c r="B14" s="2">
        <f>SUM(C14:L14)+SUM(fed2!B14:J14)+SUM(fed3!B14:K14)+SUM(fed4!B14:K14)+SUM(fed5!B13:H13)</f>
        <v>135244788.42</v>
      </c>
      <c r="C14" s="89">
        <v>0</v>
      </c>
      <c r="D14" s="120">
        <v>359222.29</v>
      </c>
      <c r="E14" s="120">
        <v>2118482.41</v>
      </c>
      <c r="F14" s="127">
        <v>0</v>
      </c>
      <c r="G14" s="221">
        <v>43298.28</v>
      </c>
      <c r="H14" s="89"/>
      <c r="I14" s="218">
        <v>48624393.699999996</v>
      </c>
      <c r="J14" s="221">
        <v>0</v>
      </c>
      <c r="K14" s="221">
        <v>209996.05</v>
      </c>
      <c r="L14" s="221">
        <v>474368.47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</row>
    <row r="15" spans="1:38" ht="12.75">
      <c r="A15" s="3" t="s">
        <v>4</v>
      </c>
      <c r="B15" s="2">
        <f>SUM(C15:L15)+SUM(fed2!B15:J15)+SUM(fed3!B15:K15)+SUM(fed4!B15:K15)+SUM(fed5!B14:H14)</f>
        <v>92720972.6</v>
      </c>
      <c r="C15" s="216">
        <v>29979</v>
      </c>
      <c r="D15" s="120">
        <v>593636.88</v>
      </c>
      <c r="E15" s="120">
        <v>1106584.79</v>
      </c>
      <c r="F15" s="221">
        <v>44455.3</v>
      </c>
      <c r="G15" s="129">
        <v>0</v>
      </c>
      <c r="H15" s="89"/>
      <c r="I15" s="218">
        <v>20865195.929999996</v>
      </c>
      <c r="J15" s="221">
        <v>0</v>
      </c>
      <c r="K15" s="221">
        <v>219030.64</v>
      </c>
      <c r="L15" s="221">
        <v>118670.22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3.5" customHeight="1">
      <c r="A16" s="3" t="s">
        <v>5</v>
      </c>
      <c r="B16" s="2">
        <f>SUM(C16:L16)+SUM(fed2!B16:J16)+SUM(fed3!B16:K16)+SUM(fed4!B16:K16)+SUM(fed5!B15:H15)</f>
        <v>7580174.159999999</v>
      </c>
      <c r="C16" s="120">
        <v>148197</v>
      </c>
      <c r="D16" s="120">
        <v>24573.91</v>
      </c>
      <c r="E16" s="120">
        <v>120703</v>
      </c>
      <c r="F16" s="129">
        <v>0</v>
      </c>
      <c r="G16" s="129">
        <v>0</v>
      </c>
      <c r="H16" s="89"/>
      <c r="I16" s="218">
        <v>1010737.83</v>
      </c>
      <c r="J16" s="221">
        <v>0</v>
      </c>
      <c r="K16" s="221">
        <v>403196.09</v>
      </c>
      <c r="L16" s="221">
        <v>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</row>
    <row r="17" spans="2:38" ht="13.5" customHeight="1">
      <c r="B17" s="2"/>
      <c r="C17" s="89"/>
      <c r="D17" s="94"/>
      <c r="E17" s="89"/>
      <c r="F17" s="89"/>
      <c r="G17" s="129"/>
      <c r="H17" s="89"/>
      <c r="I17" s="96"/>
      <c r="J17" s="221"/>
      <c r="K17" s="221"/>
      <c r="L17" s="221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2.75">
      <c r="A18" s="3" t="s">
        <v>6</v>
      </c>
      <c r="B18" s="2">
        <f>SUM(C18:L18)+SUM(fed2!B18:J18)+SUM(fed3!B18:K18)+SUM(fed4!B18:K18)+SUM(fed5!B17:H17)</f>
        <v>4978954.44</v>
      </c>
      <c r="C18" s="89">
        <v>0</v>
      </c>
      <c r="D18" s="120">
        <v>14347.03</v>
      </c>
      <c r="E18" s="120">
        <v>70950</v>
      </c>
      <c r="F18" s="89">
        <v>0</v>
      </c>
      <c r="G18" s="129">
        <v>0</v>
      </c>
      <c r="H18" s="89"/>
      <c r="I18" s="218">
        <v>1036717.76</v>
      </c>
      <c r="J18" s="221">
        <v>0</v>
      </c>
      <c r="K18" s="221">
        <v>6249.95</v>
      </c>
      <c r="L18" s="221">
        <v>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</row>
    <row r="19" spans="1:38" ht="12.75">
      <c r="A19" s="3" t="s">
        <v>7</v>
      </c>
      <c r="B19" s="2">
        <f>SUM(C19:L19)+SUM(fed2!B19:J19)+SUM(fed3!B19:K19)+SUM(fed4!B19:K19)+SUM(fed5!B18:H18)</f>
        <v>11879920.61</v>
      </c>
      <c r="C19" s="120">
        <v>321514.87</v>
      </c>
      <c r="D19" s="120">
        <v>13154.03</v>
      </c>
      <c r="E19" s="120">
        <v>194944</v>
      </c>
      <c r="F19" s="89">
        <v>6421.76</v>
      </c>
      <c r="G19" s="221">
        <v>64039.78</v>
      </c>
      <c r="H19" s="89"/>
      <c r="I19" s="98">
        <v>1301817.24</v>
      </c>
      <c r="J19" s="221">
        <v>0</v>
      </c>
      <c r="K19" s="221">
        <v>0</v>
      </c>
      <c r="L19" s="221">
        <v>79.74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38" ht="12.75">
      <c r="A20" s="3" t="s">
        <v>8</v>
      </c>
      <c r="B20" s="2">
        <f>SUM(C20:L20)+SUM(fed2!B20:J20)+SUM(fed3!B20:K20)+SUM(fed4!B20:K20)+SUM(fed5!B19:H19)</f>
        <v>10081960.16</v>
      </c>
      <c r="C20" s="89">
        <v>0</v>
      </c>
      <c r="D20" s="226">
        <v>17876.2</v>
      </c>
      <c r="E20" s="226">
        <v>169346</v>
      </c>
      <c r="F20" s="221">
        <v>13886.81</v>
      </c>
      <c r="G20" s="221">
        <v>11203</v>
      </c>
      <c r="H20" s="89"/>
      <c r="I20" s="218">
        <v>2081223.93</v>
      </c>
      <c r="J20" s="221">
        <v>0</v>
      </c>
      <c r="K20" s="221">
        <v>0</v>
      </c>
      <c r="L20" s="221">
        <v>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2.75">
      <c r="A21" s="3" t="s">
        <v>9</v>
      </c>
      <c r="B21" s="2">
        <f>SUM(C21:L21)+SUM(fed2!B21:J21)+SUM(fed3!B21:K21)+SUM(fed4!B21:K21)+SUM(fed5!B20:H20)</f>
        <v>13359985.969999999</v>
      </c>
      <c r="C21" s="120">
        <v>318758.12</v>
      </c>
      <c r="D21" s="226">
        <v>44740.54</v>
      </c>
      <c r="E21" s="120">
        <v>226001.99</v>
      </c>
      <c r="F21" s="221">
        <v>14194.56</v>
      </c>
      <c r="G21" s="221">
        <v>62969.18</v>
      </c>
      <c r="H21" s="89"/>
      <c r="I21" s="218">
        <v>2568455.68</v>
      </c>
      <c r="J21" s="221">
        <v>0</v>
      </c>
      <c r="K21" s="221">
        <v>231183.06</v>
      </c>
      <c r="L21" s="221">
        <v>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8" ht="12.75">
      <c r="A22" s="3" t="s">
        <v>10</v>
      </c>
      <c r="B22" s="2">
        <f>SUM(C22:L22)+SUM(fed2!B22:J22)+SUM(fed3!B22:K22)+SUM(fed4!B22:K22)+SUM(fed5!B21:H21)</f>
        <v>6102521.89</v>
      </c>
      <c r="C22" s="120">
        <v>317847</v>
      </c>
      <c r="D22" s="89">
        <v>21637.63</v>
      </c>
      <c r="E22" s="120">
        <v>78248</v>
      </c>
      <c r="F22" s="221">
        <v>7201.64</v>
      </c>
      <c r="G22" s="129">
        <v>0</v>
      </c>
      <c r="H22" s="89"/>
      <c r="I22" s="218">
        <v>1427206.81</v>
      </c>
      <c r="J22" s="219">
        <v>76920.1</v>
      </c>
      <c r="K22" s="221">
        <v>141109.93</v>
      </c>
      <c r="L22" s="221">
        <v>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2:38" ht="12.75">
      <c r="B23" s="2"/>
      <c r="C23" s="89"/>
      <c r="D23" s="94"/>
      <c r="E23" s="89"/>
      <c r="F23" s="89"/>
      <c r="G23" s="129"/>
      <c r="H23" s="89"/>
      <c r="I23" s="96"/>
      <c r="J23" s="221"/>
      <c r="K23" s="221"/>
      <c r="L23" s="221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38" ht="12.75">
      <c r="A24" s="3" t="s">
        <v>11</v>
      </c>
      <c r="B24" s="2">
        <f>SUM(C24:L24)+SUM(fed2!B24:J24)+SUM(fed3!B24:K24)+SUM(fed4!B24:K24)+SUM(fed5!B23:H23)</f>
        <v>17181398.189999998</v>
      </c>
      <c r="C24" s="120">
        <v>548779</v>
      </c>
      <c r="D24" s="226">
        <v>231820.28</v>
      </c>
      <c r="E24" s="127">
        <v>0</v>
      </c>
      <c r="F24" s="221">
        <v>3549.9</v>
      </c>
      <c r="G24" s="221">
        <v>46497.61</v>
      </c>
      <c r="H24" s="89"/>
      <c r="I24" s="218">
        <v>2679311.7</v>
      </c>
      <c r="J24" s="221">
        <v>0</v>
      </c>
      <c r="K24" s="214">
        <v>197456.62</v>
      </c>
      <c r="L24" s="221">
        <v>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1:38" ht="12.75">
      <c r="A25" s="3" t="s">
        <v>12</v>
      </c>
      <c r="B25" s="2">
        <f>SUM(C25:L25)+SUM(fed2!B25:J25)+SUM(fed3!B25:K25)+SUM(fed4!B25:K25)+SUM(fed5!B24:H24)</f>
        <v>5240428.16</v>
      </c>
      <c r="C25" s="89">
        <v>0</v>
      </c>
      <c r="D25" s="93">
        <v>0</v>
      </c>
      <c r="E25" s="120">
        <v>71786</v>
      </c>
      <c r="F25" s="221">
        <v>143.12</v>
      </c>
      <c r="G25" s="129">
        <v>0</v>
      </c>
      <c r="H25" s="89"/>
      <c r="I25" s="218">
        <v>1313140.27</v>
      </c>
      <c r="J25" s="221">
        <v>0</v>
      </c>
      <c r="K25" s="221">
        <v>0</v>
      </c>
      <c r="L25" s="221">
        <v>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8" ht="12.75">
      <c r="A26" s="3" t="s">
        <v>13</v>
      </c>
      <c r="B26" s="2">
        <f>SUM(C26:L26)+SUM(fed2!B26:J26)+SUM(fed3!B26:K26)+SUM(fed4!B26:K26)+SUM(fed5!B25:H25)</f>
        <v>22825488.22</v>
      </c>
      <c r="C26" s="89">
        <v>0</v>
      </c>
      <c r="D26" s="226">
        <v>69068.14</v>
      </c>
      <c r="E26" s="226">
        <v>328521</v>
      </c>
      <c r="F26" s="129">
        <v>0</v>
      </c>
      <c r="G26" s="219">
        <v>75522.92</v>
      </c>
      <c r="H26" s="89"/>
      <c r="I26" s="218">
        <v>3838399.13</v>
      </c>
      <c r="J26" s="221">
        <v>0</v>
      </c>
      <c r="K26" s="221">
        <v>0</v>
      </c>
      <c r="L26" s="221">
        <v>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</row>
    <row r="27" spans="1:38" ht="12.75">
      <c r="A27" s="3" t="s">
        <v>14</v>
      </c>
      <c r="B27" s="2">
        <f>SUM(C27:L27)+SUM(fed2!B27:J27)+SUM(fed3!B27:K27)+SUM(fed4!B27:K27)+SUM(fed5!B26:H26)</f>
        <v>18529036.82</v>
      </c>
      <c r="C27" s="89">
        <v>0</v>
      </c>
      <c r="D27" s="226">
        <v>308453.35</v>
      </c>
      <c r="E27" s="104">
        <v>283668.39</v>
      </c>
      <c r="F27" s="89">
        <v>8779</v>
      </c>
      <c r="G27" s="221">
        <v>148241</v>
      </c>
      <c r="H27" s="89"/>
      <c r="I27" s="218">
        <v>1934979.64</v>
      </c>
      <c r="J27" s="221">
        <v>0</v>
      </c>
      <c r="K27" s="221">
        <v>198268.06</v>
      </c>
      <c r="L27" s="221">
        <v>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</row>
    <row r="28" spans="1:38" ht="12.75">
      <c r="A28" s="3" t="s">
        <v>15</v>
      </c>
      <c r="B28" s="2">
        <f>SUM(C28:L28)+SUM(fed2!B28:J28)+SUM(fed3!B28:K28)+SUM(fed4!B28:K28)+SUM(fed5!B27:H27)</f>
        <v>3195383.54</v>
      </c>
      <c r="C28" s="120">
        <v>108270</v>
      </c>
      <c r="D28" s="219">
        <v>21976</v>
      </c>
      <c r="E28" s="104">
        <v>36831</v>
      </c>
      <c r="F28" s="129">
        <v>0</v>
      </c>
      <c r="G28" s="129">
        <v>0</v>
      </c>
      <c r="H28" s="89"/>
      <c r="I28" s="218">
        <v>622432.79</v>
      </c>
      <c r="J28" s="221">
        <v>0</v>
      </c>
      <c r="K28" s="129">
        <v>0</v>
      </c>
      <c r="L28" s="221">
        <v>0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2:38" ht="12.75">
      <c r="B29" s="2"/>
      <c r="C29" s="89"/>
      <c r="D29" s="94"/>
      <c r="E29" s="114"/>
      <c r="F29" s="89"/>
      <c r="G29" s="129"/>
      <c r="H29" s="89"/>
      <c r="I29" s="96"/>
      <c r="J29" s="221"/>
      <c r="L29" s="221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38" ht="12.75">
      <c r="A30" s="3" t="s">
        <v>16</v>
      </c>
      <c r="B30" s="2">
        <f>SUM(C30:L30)+SUM(fed2!B30:J30)+SUM(fed3!B30:K30)+SUM(fed4!B30:K30)+SUM(fed5!B29:H29)</f>
        <v>92958904.97</v>
      </c>
      <c r="C30" s="127">
        <v>0</v>
      </c>
      <c r="D30" s="230">
        <v>2997395.98</v>
      </c>
      <c r="E30" s="120">
        <v>1259600</v>
      </c>
      <c r="F30" s="221">
        <v>85370.72</v>
      </c>
      <c r="G30" s="221">
        <v>177085.31</v>
      </c>
      <c r="H30" s="89"/>
      <c r="I30" s="219">
        <v>19456994.54</v>
      </c>
      <c r="J30" s="221">
        <v>0</v>
      </c>
      <c r="K30" s="221">
        <v>407928.21</v>
      </c>
      <c r="L30" s="221">
        <v>79704.37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38" ht="12.75">
      <c r="A31" s="3" t="s">
        <v>17</v>
      </c>
      <c r="B31" s="2">
        <f>SUM(C31:L31)+SUM(fed2!B31:J31)+SUM(fed3!B31:K31)+SUM(fed4!B31:K31)+SUM(fed5!B30:H30)</f>
        <v>111624432.20000002</v>
      </c>
      <c r="C31" s="120">
        <v>338703.35</v>
      </c>
      <c r="D31" s="230">
        <v>1245385.18</v>
      </c>
      <c r="E31" s="120">
        <v>1393646.78</v>
      </c>
      <c r="F31" s="221">
        <v>29857.66</v>
      </c>
      <c r="G31" s="129">
        <v>0</v>
      </c>
      <c r="H31" s="89"/>
      <c r="I31" s="218">
        <v>27730866.27</v>
      </c>
      <c r="J31" s="221">
        <v>0</v>
      </c>
      <c r="K31" s="221">
        <v>463036.96</v>
      </c>
      <c r="L31" s="219">
        <v>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38" ht="12.75">
      <c r="A32" s="3" t="s">
        <v>18</v>
      </c>
      <c r="B32" s="2">
        <f>SUM(C32:L32)+SUM(fed2!B32:J32)+SUM(fed3!B32:K32)+SUM(fed4!B32:K32)+SUM(fed5!B31:H31)</f>
        <v>5013706.670000001</v>
      </c>
      <c r="C32" s="120">
        <v>153808.01</v>
      </c>
      <c r="D32" s="93">
        <v>20693.14</v>
      </c>
      <c r="E32" s="120">
        <v>0</v>
      </c>
      <c r="F32" s="89">
        <v>0</v>
      </c>
      <c r="G32" s="130">
        <v>0</v>
      </c>
      <c r="H32" s="89"/>
      <c r="I32" s="218">
        <v>643909.42</v>
      </c>
      <c r="J32" s="221">
        <v>164821.15</v>
      </c>
      <c r="K32" s="214">
        <v>348595.77</v>
      </c>
      <c r="L32" s="219">
        <v>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</row>
    <row r="33" spans="1:38" ht="12.75">
      <c r="A33" s="3" t="s">
        <v>19</v>
      </c>
      <c r="B33" s="2">
        <f>SUM(C33:L33)+SUM(fed2!B33:J33)+SUM(fed3!B33:K33)+SUM(fed4!B33:K33)+SUM(fed5!B32:H32)</f>
        <v>12322519.44</v>
      </c>
      <c r="C33" s="120">
        <v>127097</v>
      </c>
      <c r="D33" s="230">
        <v>13770.87</v>
      </c>
      <c r="E33" s="120">
        <v>160704.82</v>
      </c>
      <c r="F33" s="129">
        <v>0</v>
      </c>
      <c r="G33" s="129">
        <v>0</v>
      </c>
      <c r="H33" s="89"/>
      <c r="I33" s="218">
        <v>2169058.68</v>
      </c>
      <c r="J33" s="221">
        <v>0</v>
      </c>
      <c r="K33" s="221">
        <v>0</v>
      </c>
      <c r="L33" s="221">
        <v>0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2.75">
      <c r="A34" s="3" t="s">
        <v>20</v>
      </c>
      <c r="B34" s="2">
        <f>SUM(C34:L34)+SUM(fed2!B34:J34)+SUM(fed3!B34:K34)+SUM(fed4!B34:K34)+SUM(fed5!B33:H33)</f>
        <v>5662052.74</v>
      </c>
      <c r="C34" s="120">
        <v>88437.85</v>
      </c>
      <c r="D34" s="230">
        <v>12285.64</v>
      </c>
      <c r="E34" s="120">
        <v>64055.45</v>
      </c>
      <c r="F34" s="127">
        <v>0</v>
      </c>
      <c r="G34" s="129">
        <v>0</v>
      </c>
      <c r="H34" s="89"/>
      <c r="I34" s="218">
        <v>1139125.09</v>
      </c>
      <c r="J34" s="221">
        <v>84270.46</v>
      </c>
      <c r="K34" s="221">
        <v>0</v>
      </c>
      <c r="L34" s="221">
        <v>0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2:38" ht="12.75">
      <c r="B35" s="2"/>
      <c r="C35" s="89"/>
      <c r="D35" s="128"/>
      <c r="E35" s="127"/>
      <c r="F35" s="127"/>
      <c r="G35" s="129"/>
      <c r="H35" s="89"/>
      <c r="I35" s="96"/>
      <c r="J35" s="221"/>
      <c r="K35" s="221"/>
      <c r="L35" s="221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</row>
    <row r="36" spans="1:38" ht="12.75">
      <c r="A36" s="3" t="s">
        <v>21</v>
      </c>
      <c r="B36" s="2">
        <f>SUM(C36:L36)+SUM(fed2!B36:J36)+SUM(fed3!B36:K36)+SUM(fed4!B36:K36)+SUM(fed5!B35:H35)</f>
        <v>2888073.2800000003</v>
      </c>
      <c r="C36" s="89">
        <v>53337</v>
      </c>
      <c r="D36" s="230">
        <v>33494.1</v>
      </c>
      <c r="E36" s="118">
        <v>0</v>
      </c>
      <c r="F36" s="118">
        <v>0</v>
      </c>
      <c r="G36" s="129">
        <v>0</v>
      </c>
      <c r="H36" s="89"/>
      <c r="I36" s="218">
        <v>746238.33</v>
      </c>
      <c r="J36" s="221">
        <v>0</v>
      </c>
      <c r="K36" s="221">
        <v>0</v>
      </c>
      <c r="L36" s="221">
        <v>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</row>
    <row r="37" spans="1:38" ht="12.75">
      <c r="A37" s="3" t="s">
        <v>22</v>
      </c>
      <c r="B37" s="2">
        <f>SUM(C37:L37)+SUM(fed2!B37:J37)+SUM(fed3!B37:K37)+SUM(fed4!B37:K37)+SUM(fed5!B36:H36)</f>
        <v>15860347.100000001</v>
      </c>
      <c r="C37" s="120">
        <v>249867.06</v>
      </c>
      <c r="D37" s="82">
        <v>79072.5</v>
      </c>
      <c r="E37" s="127">
        <v>0</v>
      </c>
      <c r="F37" s="120">
        <v>5847.74</v>
      </c>
      <c r="G37" s="221">
        <v>41223.3</v>
      </c>
      <c r="H37" s="89"/>
      <c r="I37" s="218">
        <v>3690533.52</v>
      </c>
      <c r="J37" s="221">
        <v>0</v>
      </c>
      <c r="K37" s="221">
        <v>0</v>
      </c>
      <c r="L37" s="221">
        <v>5712.45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2.75">
      <c r="A38" s="3" t="s">
        <v>23</v>
      </c>
      <c r="B38" s="2">
        <f>SUM(C38:L38)+SUM(fed2!B38:J38)+SUM(fed3!B38:K38)+SUM(fed4!B38:K38)+SUM(fed5!B37:H37)</f>
        <v>14705747.83</v>
      </c>
      <c r="C38" s="120">
        <v>459384</v>
      </c>
      <c r="D38" s="230">
        <v>56817.61</v>
      </c>
      <c r="E38" s="127">
        <v>0</v>
      </c>
      <c r="F38" s="127">
        <v>0</v>
      </c>
      <c r="G38" s="129">
        <v>0</v>
      </c>
      <c r="H38" s="89"/>
      <c r="I38" s="218">
        <v>3745296.51</v>
      </c>
      <c r="J38" s="221">
        <v>0</v>
      </c>
      <c r="K38" s="221">
        <v>27393.52</v>
      </c>
      <c r="L38" s="221">
        <v>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</row>
    <row r="39" spans="1:38" ht="12.75">
      <c r="A39" s="13" t="s">
        <v>24</v>
      </c>
      <c r="B39" s="14">
        <f>SUM(C39:L39)+SUM(fed2!B39:J39)+SUM(fed3!B39:K39)+SUM(fed4!B39:K39)+SUM(fed5!B38:H38)</f>
        <v>7771554.030000001</v>
      </c>
      <c r="C39" s="217">
        <v>221444</v>
      </c>
      <c r="D39" s="231">
        <v>42665.64</v>
      </c>
      <c r="E39" s="95">
        <v>0</v>
      </c>
      <c r="F39" s="95">
        <v>0</v>
      </c>
      <c r="G39" s="131">
        <v>0</v>
      </c>
      <c r="H39" s="95"/>
      <c r="I39" s="220">
        <v>1391121.57</v>
      </c>
      <c r="J39" s="224">
        <v>0</v>
      </c>
      <c r="K39" s="224">
        <v>0</v>
      </c>
      <c r="L39" s="224">
        <v>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</row>
    <row r="40" spans="2:38" ht="12.75">
      <c r="B40" s="16"/>
      <c r="C40" s="16"/>
      <c r="E40" s="16"/>
      <c r="F40" s="16"/>
      <c r="G40" s="16"/>
      <c r="H40" s="16"/>
      <c r="I40" s="16"/>
      <c r="J40" s="56"/>
      <c r="K40" s="5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</row>
    <row r="41" spans="2:38" ht="12.75">
      <c r="B41" s="111"/>
      <c r="C41" s="16"/>
      <c r="E41" s="16"/>
      <c r="F41" s="16"/>
      <c r="G41" s="16"/>
      <c r="H41" s="16"/>
      <c r="I41" s="16"/>
      <c r="J41" s="56"/>
      <c r="K41" s="5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3:38" ht="12.75">
      <c r="C42" s="16"/>
      <c r="E42" s="16"/>
      <c r="F42" s="16"/>
      <c r="G42" s="16"/>
      <c r="H42" s="16"/>
      <c r="I42" s="16"/>
      <c r="J42" s="56"/>
      <c r="K42" s="5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</row>
    <row r="43" spans="3:38" ht="12.75">
      <c r="C43" s="16"/>
      <c r="E43" s="16"/>
      <c r="F43" s="16"/>
      <c r="G43" s="16"/>
      <c r="H43" s="16"/>
      <c r="I43" s="16"/>
      <c r="J43" s="56"/>
      <c r="K43" s="5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</row>
    <row r="44" spans="3:38" ht="12.75">
      <c r="C44" s="16"/>
      <c r="E44" s="16"/>
      <c r="F44" s="16"/>
      <c r="G44" s="16"/>
      <c r="H44" s="16"/>
      <c r="I44" s="16"/>
      <c r="J44" s="56"/>
      <c r="K44" s="5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3:38" ht="12.75">
      <c r="C45" s="16"/>
      <c r="E45" s="16"/>
      <c r="F45" s="16"/>
      <c r="G45" s="16"/>
      <c r="H45" s="16"/>
      <c r="I45" s="16"/>
      <c r="J45" s="56"/>
      <c r="K45" s="5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3:38" ht="12.75">
      <c r="C46" s="16"/>
      <c r="E46" s="16"/>
      <c r="F46" s="16"/>
      <c r="G46" s="16"/>
      <c r="H46" s="16"/>
      <c r="I46" s="16"/>
      <c r="J46" s="56"/>
      <c r="K46" s="5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3:38" ht="12.75">
      <c r="C47" s="16"/>
      <c r="E47" s="16"/>
      <c r="F47" s="16"/>
      <c r="G47" s="16"/>
      <c r="H47" s="16"/>
      <c r="I47" s="16"/>
      <c r="J47" s="56"/>
      <c r="K47" s="5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</row>
    <row r="48" spans="3:38" ht="12.75">
      <c r="C48" s="16"/>
      <c r="E48" s="16"/>
      <c r="F48" s="16"/>
      <c r="G48" s="16"/>
      <c r="H48" s="16"/>
      <c r="I48" s="16"/>
      <c r="J48" s="56"/>
      <c r="K48" s="5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</row>
    <row r="49" spans="3:38" ht="12.75">
      <c r="C49" s="16"/>
      <c r="E49" s="16"/>
      <c r="F49" s="16"/>
      <c r="G49" s="16"/>
      <c r="H49" s="16"/>
      <c r="I49" s="16"/>
      <c r="J49" s="56"/>
      <c r="K49" s="5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</row>
    <row r="50" spans="3:38" ht="12.75">
      <c r="C50" s="16"/>
      <c r="E50" s="16"/>
      <c r="F50" s="16"/>
      <c r="G50" s="16"/>
      <c r="H50" s="16"/>
      <c r="I50" s="16"/>
      <c r="J50" s="56"/>
      <c r="K50" s="5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</row>
    <row r="51" spans="3:38" ht="12.75">
      <c r="C51" s="16"/>
      <c r="E51" s="16"/>
      <c r="F51" s="16"/>
      <c r="G51" s="16"/>
      <c r="H51" s="16"/>
      <c r="I51" s="16"/>
      <c r="J51" s="56"/>
      <c r="K51" s="5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</row>
    <row r="52" spans="3:38" ht="12.75">
      <c r="C52" s="16"/>
      <c r="E52" s="16"/>
      <c r="F52" s="16"/>
      <c r="G52" s="16"/>
      <c r="H52" s="16"/>
      <c r="I52" s="16"/>
      <c r="J52" s="56"/>
      <c r="K52" s="5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</row>
    <row r="53" spans="3:38" ht="12.75">
      <c r="C53" s="16"/>
      <c r="E53" s="16"/>
      <c r="F53" s="16"/>
      <c r="G53" s="16"/>
      <c r="H53" s="16"/>
      <c r="I53" s="16"/>
      <c r="J53" s="56"/>
      <c r="K53" s="5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</row>
    <row r="54" spans="3:38" ht="12.75">
      <c r="C54" s="16"/>
      <c r="E54" s="16"/>
      <c r="F54" s="16"/>
      <c r="G54" s="16"/>
      <c r="H54" s="16"/>
      <c r="I54" s="16"/>
      <c r="J54" s="56"/>
      <c r="K54" s="5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</row>
    <row r="55" spans="3:38" ht="12.75">
      <c r="C55" s="16"/>
      <c r="E55" s="16"/>
      <c r="F55" s="16"/>
      <c r="G55" s="16"/>
      <c r="H55" s="16"/>
      <c r="I55" s="16"/>
      <c r="J55" s="56"/>
      <c r="K55" s="5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</row>
    <row r="56" spans="3:38" ht="12.75">
      <c r="C56" s="16"/>
      <c r="E56" s="16"/>
      <c r="F56" s="16"/>
      <c r="G56" s="16"/>
      <c r="H56" s="16"/>
      <c r="I56" s="16"/>
      <c r="J56" s="56"/>
      <c r="K56" s="5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</row>
    <row r="57" spans="3:38" ht="12.75">
      <c r="C57" s="16"/>
      <c r="E57" s="16"/>
      <c r="F57" s="16"/>
      <c r="G57" s="16"/>
      <c r="H57" s="16"/>
      <c r="I57" s="16"/>
      <c r="J57" s="56"/>
      <c r="K57" s="5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3:38" ht="12.75">
      <c r="C58" s="16"/>
      <c r="E58" s="16"/>
      <c r="F58" s="16"/>
      <c r="G58" s="16"/>
      <c r="H58" s="16"/>
      <c r="I58" s="16"/>
      <c r="J58" s="56"/>
      <c r="K58" s="5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</row>
    <row r="59" spans="3:38" ht="12.75">
      <c r="C59" s="16"/>
      <c r="E59" s="16"/>
      <c r="F59" s="16"/>
      <c r="G59" s="16"/>
      <c r="H59" s="16"/>
      <c r="I59" s="16"/>
      <c r="J59" s="56"/>
      <c r="K59" s="5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</row>
    <row r="60" spans="3:38" ht="12.75">
      <c r="C60" s="16"/>
      <c r="E60" s="16"/>
      <c r="F60" s="16"/>
      <c r="G60" s="16"/>
      <c r="H60" s="16"/>
      <c r="I60" s="16"/>
      <c r="J60" s="56"/>
      <c r="K60" s="5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</row>
    <row r="61" spans="3:38" ht="12.75">
      <c r="C61" s="16"/>
      <c r="E61" s="16"/>
      <c r="F61" s="16"/>
      <c r="G61" s="16"/>
      <c r="H61" s="16"/>
      <c r="I61" s="16"/>
      <c r="J61" s="56"/>
      <c r="K61" s="5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</row>
    <row r="62" spans="3:38" ht="12.75">
      <c r="C62" s="16"/>
      <c r="E62" s="16"/>
      <c r="F62" s="16"/>
      <c r="G62" s="16"/>
      <c r="H62" s="16"/>
      <c r="I62" s="16"/>
      <c r="J62" s="56"/>
      <c r="K62" s="5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</row>
    <row r="63" spans="3:38" ht="12.75">
      <c r="C63" s="16"/>
      <c r="E63" s="16"/>
      <c r="F63" s="16"/>
      <c r="G63" s="16"/>
      <c r="H63" s="16"/>
      <c r="I63" s="16"/>
      <c r="J63" s="56"/>
      <c r="K63" s="5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</row>
    <row r="64" spans="3:38" ht="12.75">
      <c r="C64" s="16"/>
      <c r="E64" s="16"/>
      <c r="F64" s="16"/>
      <c r="G64" s="16"/>
      <c r="H64" s="16"/>
      <c r="I64" s="16"/>
      <c r="J64" s="56"/>
      <c r="K64" s="5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</row>
    <row r="65" spans="3:38" ht="12.75">
      <c r="C65" s="16"/>
      <c r="E65" s="16"/>
      <c r="F65" s="16"/>
      <c r="G65" s="16"/>
      <c r="H65" s="16"/>
      <c r="I65" s="16"/>
      <c r="J65" s="56"/>
      <c r="K65" s="5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</row>
    <row r="66" spans="3:38" ht="12.75">
      <c r="C66" s="16"/>
      <c r="E66" s="16"/>
      <c r="F66" s="16"/>
      <c r="G66" s="16"/>
      <c r="H66" s="16"/>
      <c r="I66" s="16"/>
      <c r="J66" s="56"/>
      <c r="K66" s="5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</row>
    <row r="67" spans="3:38" ht="12.75">
      <c r="C67" s="16"/>
      <c r="E67" s="16"/>
      <c r="F67" s="16"/>
      <c r="G67" s="16"/>
      <c r="H67" s="16"/>
      <c r="I67" s="16"/>
      <c r="J67" s="56"/>
      <c r="K67" s="5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</row>
    <row r="68" spans="3:38" ht="12.75">
      <c r="C68" s="16"/>
      <c r="E68" s="16"/>
      <c r="F68" s="16"/>
      <c r="G68" s="16"/>
      <c r="H68" s="16"/>
      <c r="I68" s="16"/>
      <c r="J68" s="56"/>
      <c r="K68" s="5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</row>
    <row r="69" spans="3:38" ht="12.75">
      <c r="C69" s="16"/>
      <c r="E69" s="16"/>
      <c r="F69" s="16"/>
      <c r="G69" s="16"/>
      <c r="H69" s="16"/>
      <c r="I69" s="16"/>
      <c r="J69" s="56"/>
      <c r="K69" s="5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</row>
    <row r="70" spans="3:38" ht="12.75">
      <c r="C70" s="16"/>
      <c r="E70" s="16"/>
      <c r="F70" s="16"/>
      <c r="G70" s="16"/>
      <c r="H70" s="16"/>
      <c r="I70" s="16"/>
      <c r="J70" s="56"/>
      <c r="K70" s="5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</row>
    <row r="71" spans="3:38" ht="12.75">
      <c r="C71" s="16"/>
      <c r="E71" s="16"/>
      <c r="F71" s="16"/>
      <c r="G71" s="16"/>
      <c r="H71" s="16"/>
      <c r="I71" s="16"/>
      <c r="J71" s="56"/>
      <c r="K71" s="5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</row>
    <row r="72" spans="3:38" ht="12.75">
      <c r="C72" s="16"/>
      <c r="E72" s="16"/>
      <c r="F72" s="16"/>
      <c r="G72" s="16"/>
      <c r="H72" s="16"/>
      <c r="I72" s="16"/>
      <c r="J72" s="56"/>
      <c r="K72" s="5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</row>
    <row r="73" spans="3:38" ht="12.75">
      <c r="C73" s="16"/>
      <c r="E73" s="16"/>
      <c r="F73" s="16"/>
      <c r="G73" s="16"/>
      <c r="H73" s="16"/>
      <c r="I73" s="16"/>
      <c r="J73" s="56"/>
      <c r="K73" s="5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</row>
    <row r="74" spans="3:38" ht="12.75">
      <c r="C74" s="16"/>
      <c r="E74" s="16"/>
      <c r="F74" s="16"/>
      <c r="G74" s="16"/>
      <c r="H74" s="16"/>
      <c r="I74" s="16"/>
      <c r="J74" s="56"/>
      <c r="K74" s="5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</row>
    <row r="75" spans="3:38" ht="12.75">
      <c r="C75" s="16"/>
      <c r="E75" s="16"/>
      <c r="F75" s="16"/>
      <c r="G75" s="16"/>
      <c r="H75" s="16"/>
      <c r="I75" s="16"/>
      <c r="J75" s="56"/>
      <c r="K75" s="5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</row>
    <row r="76" spans="3:38" ht="12.75">
      <c r="C76" s="16"/>
      <c r="E76" s="16"/>
      <c r="F76" s="16"/>
      <c r="G76" s="16"/>
      <c r="H76" s="16"/>
      <c r="I76" s="16"/>
      <c r="J76" s="56"/>
      <c r="K76" s="5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</row>
  </sheetData>
  <sheetProtection password="CAF5" sheet="1" objects="1" scenarios="1"/>
  <mergeCells count="8">
    <mergeCell ref="D7:D9"/>
    <mergeCell ref="A2:L2"/>
    <mergeCell ref="E5:G5"/>
    <mergeCell ref="A3:L3"/>
    <mergeCell ref="A1:L1"/>
    <mergeCell ref="I5:L5"/>
    <mergeCell ref="I6:L6"/>
    <mergeCell ref="E6:G6"/>
  </mergeCells>
  <printOptions horizontalCentered="1"/>
  <pageMargins left="0.27" right="0.34" top="0.83" bottom="1" header="0.67" footer="0.5"/>
  <pageSetup fitToHeight="1" fitToWidth="1" horizontalDpi="600" verticalDpi="600" orientation="landscape" scale="86" r:id="rId1"/>
  <headerFooter alignWithMargins="0">
    <oddFooter>&amp;L&amp;"Arial,Italic"&amp;9MSDE-DBS  10 / 2008
&amp;C- 12 -&amp;R&amp;"Arial,Italic"&amp;9Selected Financial Data-Part 1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4">
      <selection activeCell="J14" sqref="J14"/>
    </sheetView>
  </sheetViews>
  <sheetFormatPr defaultColWidth="9.140625" defaultRowHeight="12.75"/>
  <cols>
    <col min="1" max="2" width="14.421875" style="0" customWidth="1"/>
    <col min="3" max="4" width="11.57421875" style="0" customWidth="1"/>
    <col min="5" max="5" width="13.8515625" style="0" bestFit="1" customWidth="1"/>
    <col min="6" max="6" width="11.28125" style="0" customWidth="1"/>
    <col min="7" max="7" width="12.28125" style="0" bestFit="1" customWidth="1"/>
    <col min="8" max="8" width="12.28125" style="0" customWidth="1"/>
    <col min="9" max="9" width="14.7109375" style="0" customWidth="1"/>
    <col min="10" max="10" width="15.7109375" style="0" customWidth="1"/>
    <col min="11" max="11" width="12.28125" style="0" bestFit="1" customWidth="1"/>
  </cols>
  <sheetData>
    <row r="1" spans="1:11" ht="12.75">
      <c r="A1" s="448" t="s">
        <v>130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2" ht="12.75">
      <c r="A2" s="3"/>
      <c r="B2" s="3"/>
    </row>
    <row r="3" spans="1:11" ht="12.75">
      <c r="A3" s="458" t="s">
        <v>229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</row>
    <row r="4" spans="1:11" ht="13.5" thickBot="1">
      <c r="A4" s="3"/>
      <c r="B4" s="3"/>
      <c r="C4" s="3"/>
      <c r="D4" s="3"/>
      <c r="E4" s="3"/>
      <c r="F4" s="3"/>
      <c r="G4" s="3"/>
      <c r="H4" s="3"/>
      <c r="I4" s="3"/>
      <c r="J4" s="12"/>
      <c r="K4" s="3"/>
    </row>
    <row r="5" spans="1:10" ht="15" customHeight="1" thickTop="1">
      <c r="A5" s="6"/>
      <c r="B5" s="134"/>
      <c r="C5" s="388"/>
      <c r="D5" s="388"/>
      <c r="E5" s="388"/>
      <c r="F5" s="388"/>
      <c r="G5" s="388"/>
      <c r="H5" s="388"/>
      <c r="I5" s="388"/>
      <c r="J5" s="215"/>
    </row>
    <row r="6" spans="1:10" ht="12.75">
      <c r="A6" s="3"/>
      <c r="B6" s="3"/>
      <c r="C6" s="4"/>
      <c r="D6" s="4" t="s">
        <v>249</v>
      </c>
      <c r="E6" s="74" t="s">
        <v>250</v>
      </c>
      <c r="F6" s="235" t="s">
        <v>212</v>
      </c>
      <c r="G6" s="4"/>
      <c r="I6" s="453" t="s">
        <v>245</v>
      </c>
      <c r="J6" s="454" t="s">
        <v>244</v>
      </c>
    </row>
    <row r="7" spans="1:10" ht="12.75" customHeight="1">
      <c r="A7" s="3" t="s">
        <v>85</v>
      </c>
      <c r="B7" s="459" t="s">
        <v>168</v>
      </c>
      <c r="C7" s="74" t="s">
        <v>151</v>
      </c>
      <c r="D7" s="455" t="s">
        <v>170</v>
      </c>
      <c r="E7" s="74" t="s">
        <v>69</v>
      </c>
      <c r="F7" s="434" t="s">
        <v>213</v>
      </c>
      <c r="G7" s="4" t="s">
        <v>152</v>
      </c>
      <c r="H7" s="74" t="s">
        <v>214</v>
      </c>
      <c r="I7" s="433"/>
      <c r="J7" s="433"/>
    </row>
    <row r="8" spans="1:10" ht="12.75">
      <c r="A8" s="3" t="s">
        <v>35</v>
      </c>
      <c r="B8" s="455"/>
      <c r="C8" s="74" t="s">
        <v>26</v>
      </c>
      <c r="D8" s="456"/>
      <c r="E8" s="74" t="s">
        <v>70</v>
      </c>
      <c r="F8" s="434"/>
      <c r="G8" s="4" t="s">
        <v>148</v>
      </c>
      <c r="H8" s="4" t="s">
        <v>215</v>
      </c>
      <c r="I8" s="433"/>
      <c r="J8" s="433"/>
    </row>
    <row r="9" spans="1:10" ht="13.5" thickBot="1">
      <c r="A9" s="7" t="s">
        <v>144</v>
      </c>
      <c r="B9" s="457"/>
      <c r="C9" s="81" t="s">
        <v>72</v>
      </c>
      <c r="D9" s="457"/>
      <c r="E9" s="81" t="s">
        <v>71</v>
      </c>
      <c r="F9" s="435"/>
      <c r="G9" s="8" t="s">
        <v>35</v>
      </c>
      <c r="H9" s="8"/>
      <c r="I9" s="435"/>
      <c r="J9" s="435"/>
    </row>
    <row r="10" spans="1:11" s="48" customFormat="1" ht="12.75">
      <c r="A10" s="54" t="s">
        <v>0</v>
      </c>
      <c r="B10" s="66">
        <f aca="true" t="shared" si="0" ref="B10:J10">SUM(B12:B39)</f>
        <v>1707368.25</v>
      </c>
      <c r="C10" s="66">
        <f t="shared" si="0"/>
        <v>4839959.600000001</v>
      </c>
      <c r="D10" s="66">
        <f t="shared" si="0"/>
        <v>981787.86</v>
      </c>
      <c r="E10" s="66">
        <f t="shared" si="0"/>
        <v>1029734.8399999999</v>
      </c>
      <c r="F10" s="66">
        <f t="shared" si="0"/>
        <v>1488642.36</v>
      </c>
      <c r="G10" s="66">
        <f t="shared" si="0"/>
        <v>118027.19999999998</v>
      </c>
      <c r="H10" s="66">
        <f t="shared" si="0"/>
        <v>8693460.5</v>
      </c>
      <c r="I10" s="66">
        <f t="shared" si="0"/>
        <v>147163.08</v>
      </c>
      <c r="J10" s="66">
        <f t="shared" si="0"/>
        <v>75692.65</v>
      </c>
      <c r="K10"/>
    </row>
    <row r="11" spans="1:10" ht="12.75">
      <c r="A11" s="3"/>
      <c r="B11" s="3"/>
      <c r="C11" s="102"/>
      <c r="D11" s="67"/>
      <c r="E11" s="102"/>
      <c r="F11" s="68"/>
      <c r="G11" s="102"/>
      <c r="H11" s="102"/>
      <c r="I11" s="102"/>
      <c r="J11" s="102"/>
    </row>
    <row r="12" spans="1:10" ht="12.75">
      <c r="A12" s="3" t="s">
        <v>1</v>
      </c>
      <c r="B12" s="221">
        <v>252578.39</v>
      </c>
      <c r="C12" s="78">
        <v>109383.52</v>
      </c>
      <c r="D12" s="103">
        <v>331.31</v>
      </c>
      <c r="E12" s="228">
        <v>24000.63</v>
      </c>
      <c r="F12" s="78">
        <v>17688.79</v>
      </c>
      <c r="G12" s="78">
        <v>0</v>
      </c>
      <c r="H12" s="78">
        <v>265798.34</v>
      </c>
      <c r="I12" s="104">
        <v>0</v>
      </c>
      <c r="J12" s="104">
        <v>0</v>
      </c>
    </row>
    <row r="13" spans="1:10" ht="12.75">
      <c r="A13" s="3" t="s">
        <v>2</v>
      </c>
      <c r="B13" s="221">
        <v>163891.12</v>
      </c>
      <c r="C13" s="78">
        <v>113445.74</v>
      </c>
      <c r="D13" s="103">
        <v>126897.14</v>
      </c>
      <c r="E13" s="228">
        <v>35988.18</v>
      </c>
      <c r="F13" s="78">
        <v>0</v>
      </c>
      <c r="G13" s="78">
        <v>0</v>
      </c>
      <c r="H13" s="78">
        <v>0</v>
      </c>
      <c r="I13" s="114">
        <v>0</v>
      </c>
      <c r="J13" s="104">
        <v>0</v>
      </c>
    </row>
    <row r="14" spans="1:10" ht="12.75">
      <c r="A14" s="3" t="s">
        <v>3</v>
      </c>
      <c r="B14" s="219">
        <v>120152.04</v>
      </c>
      <c r="C14" s="78">
        <v>552408.87</v>
      </c>
      <c r="D14" s="103">
        <v>132009.22</v>
      </c>
      <c r="E14" s="228">
        <v>175109.49</v>
      </c>
      <c r="F14" s="78">
        <v>974.41</v>
      </c>
      <c r="G14" s="72">
        <v>51468.82</v>
      </c>
      <c r="H14" s="72">
        <v>3225978.76</v>
      </c>
      <c r="I14" s="78">
        <v>0</v>
      </c>
      <c r="J14" s="104">
        <v>0</v>
      </c>
    </row>
    <row r="15" spans="1:10" ht="12.75">
      <c r="A15" s="3" t="s">
        <v>4</v>
      </c>
      <c r="B15" s="221">
        <v>319456.55</v>
      </c>
      <c r="C15" s="78">
        <v>1368372.78</v>
      </c>
      <c r="D15" s="103">
        <v>94796.03</v>
      </c>
      <c r="E15" s="228">
        <v>146113.68</v>
      </c>
      <c r="F15" s="78">
        <v>0</v>
      </c>
      <c r="G15" s="78">
        <v>0</v>
      </c>
      <c r="H15" s="78">
        <v>1306757.96</v>
      </c>
      <c r="I15" s="78">
        <v>147163.08</v>
      </c>
      <c r="J15" s="78">
        <v>16782.12</v>
      </c>
    </row>
    <row r="16" spans="1:10" ht="12.75">
      <c r="A16" s="3" t="s">
        <v>5</v>
      </c>
      <c r="B16" s="221">
        <v>18791.36</v>
      </c>
      <c r="C16" s="104">
        <v>12616</v>
      </c>
      <c r="D16" s="132">
        <v>0</v>
      </c>
      <c r="E16" s="228">
        <v>16729.73</v>
      </c>
      <c r="F16" s="119">
        <v>0</v>
      </c>
      <c r="G16" s="78">
        <v>0</v>
      </c>
      <c r="H16" s="78">
        <v>0</v>
      </c>
      <c r="I16" s="78">
        <v>0</v>
      </c>
      <c r="J16" s="104">
        <v>0</v>
      </c>
    </row>
    <row r="17" spans="1:10" ht="12.75">
      <c r="A17" s="3"/>
      <c r="B17" s="89"/>
      <c r="C17" s="72"/>
      <c r="D17" s="103"/>
      <c r="E17" s="228"/>
      <c r="F17" s="78"/>
      <c r="G17" s="78"/>
      <c r="H17" s="78"/>
      <c r="I17" s="78"/>
      <c r="J17" s="78"/>
    </row>
    <row r="18" spans="1:10" ht="12.75">
      <c r="A18" s="3" t="s">
        <v>6</v>
      </c>
      <c r="B18" s="129">
        <v>0</v>
      </c>
      <c r="C18" s="104">
        <v>80189.62</v>
      </c>
      <c r="D18" s="132">
        <v>0</v>
      </c>
      <c r="E18" s="228">
        <v>13042</v>
      </c>
      <c r="F18" s="78">
        <v>0</v>
      </c>
      <c r="G18" s="78">
        <v>0</v>
      </c>
      <c r="H18" s="78">
        <v>0</v>
      </c>
      <c r="I18" s="78">
        <v>0</v>
      </c>
      <c r="J18" s="104">
        <v>0</v>
      </c>
    </row>
    <row r="19" spans="1:10" ht="12.75">
      <c r="A19" s="3" t="s">
        <v>7</v>
      </c>
      <c r="B19" s="129">
        <v>0</v>
      </c>
      <c r="C19" s="78">
        <v>21146.76</v>
      </c>
      <c r="D19" s="103">
        <v>1218.59</v>
      </c>
      <c r="E19" s="228">
        <v>16814.5</v>
      </c>
      <c r="F19" s="119">
        <v>0</v>
      </c>
      <c r="G19" s="78">
        <v>0</v>
      </c>
      <c r="H19" s="78">
        <v>0</v>
      </c>
      <c r="I19" s="119">
        <v>0</v>
      </c>
      <c r="J19" s="104">
        <v>0</v>
      </c>
    </row>
    <row r="20" spans="1:10" ht="12.75">
      <c r="A20" s="3" t="s">
        <v>8</v>
      </c>
      <c r="B20" s="129">
        <v>0</v>
      </c>
      <c r="C20" s="78">
        <v>47904.6</v>
      </c>
      <c r="D20" s="103">
        <v>0</v>
      </c>
      <c r="E20" s="228">
        <v>22302.7</v>
      </c>
      <c r="F20" s="78">
        <v>0</v>
      </c>
      <c r="G20" s="78">
        <v>0</v>
      </c>
      <c r="H20" s="78">
        <v>0</v>
      </c>
      <c r="I20" s="78">
        <v>0</v>
      </c>
      <c r="J20" s="104">
        <v>0</v>
      </c>
    </row>
    <row r="21" spans="1:10" ht="12.75">
      <c r="A21" s="3" t="s">
        <v>9</v>
      </c>
      <c r="B21" s="129">
        <v>0</v>
      </c>
      <c r="C21" s="78">
        <v>40240.64</v>
      </c>
      <c r="D21" s="103">
        <v>67006.45</v>
      </c>
      <c r="E21" s="228">
        <v>12003.57</v>
      </c>
      <c r="F21" s="78">
        <v>0</v>
      </c>
      <c r="G21" s="72">
        <v>45416.7</v>
      </c>
      <c r="H21" s="378">
        <v>0</v>
      </c>
      <c r="I21" s="78">
        <v>0</v>
      </c>
      <c r="J21" s="104">
        <v>0</v>
      </c>
    </row>
    <row r="22" spans="1:10" ht="12.75">
      <c r="A22" s="3" t="s">
        <v>10</v>
      </c>
      <c r="B22" s="129">
        <v>0</v>
      </c>
      <c r="C22" s="78">
        <v>77459.51</v>
      </c>
      <c r="D22" s="103">
        <v>14829.72</v>
      </c>
      <c r="E22" s="228">
        <v>6219.69</v>
      </c>
      <c r="F22" s="78">
        <v>0</v>
      </c>
      <c r="G22" s="78">
        <v>0</v>
      </c>
      <c r="H22" s="78">
        <v>266621.96</v>
      </c>
      <c r="I22" s="78">
        <v>0</v>
      </c>
      <c r="J22" s="104">
        <v>0</v>
      </c>
    </row>
    <row r="23" spans="1:10" ht="12.75">
      <c r="A23" s="3"/>
      <c r="B23" s="89"/>
      <c r="C23" s="119"/>
      <c r="D23" s="103"/>
      <c r="E23" s="228"/>
      <c r="F23" s="78"/>
      <c r="G23" s="78"/>
      <c r="H23" s="78"/>
      <c r="I23" s="119"/>
      <c r="J23" s="78"/>
    </row>
    <row r="24" spans="1:10" ht="12.75">
      <c r="A24" s="3" t="s">
        <v>11</v>
      </c>
      <c r="B24" s="129">
        <v>0</v>
      </c>
      <c r="C24" s="78">
        <v>27543.99</v>
      </c>
      <c r="D24" s="132">
        <v>0</v>
      </c>
      <c r="E24" s="228">
        <v>41833</v>
      </c>
      <c r="F24" s="78">
        <v>0</v>
      </c>
      <c r="G24" s="78">
        <v>0</v>
      </c>
      <c r="H24" s="78">
        <v>0</v>
      </c>
      <c r="I24" s="78">
        <v>0</v>
      </c>
      <c r="J24" s="104">
        <v>0</v>
      </c>
    </row>
    <row r="25" spans="1:10" ht="12.75">
      <c r="A25" s="3" t="s">
        <v>12</v>
      </c>
      <c r="B25" s="129">
        <v>0</v>
      </c>
      <c r="C25" s="78">
        <v>97395.19</v>
      </c>
      <c r="D25" s="103">
        <v>0</v>
      </c>
      <c r="E25" s="228">
        <v>10333</v>
      </c>
      <c r="F25" s="78">
        <v>0</v>
      </c>
      <c r="G25" s="78">
        <v>0</v>
      </c>
      <c r="H25" s="78">
        <v>156368.32</v>
      </c>
      <c r="I25" s="119">
        <v>0</v>
      </c>
      <c r="J25" s="104">
        <v>0</v>
      </c>
    </row>
    <row r="26" spans="1:10" ht="12.75">
      <c r="A26" s="3" t="s">
        <v>13</v>
      </c>
      <c r="B26" s="221">
        <v>300645.54</v>
      </c>
      <c r="C26" s="78">
        <v>21914.7</v>
      </c>
      <c r="D26" s="103">
        <v>86475.21</v>
      </c>
      <c r="E26" s="228">
        <v>4110.01</v>
      </c>
      <c r="F26" s="78">
        <v>0</v>
      </c>
      <c r="G26" s="78">
        <v>0</v>
      </c>
      <c r="H26" s="78">
        <v>0</v>
      </c>
      <c r="I26" s="78">
        <v>0</v>
      </c>
      <c r="J26" s="104">
        <v>0</v>
      </c>
    </row>
    <row r="27" spans="1:10" ht="12.75">
      <c r="A27" s="3" t="s">
        <v>14</v>
      </c>
      <c r="B27" s="89">
        <v>0</v>
      </c>
      <c r="C27" s="78">
        <v>39261.85</v>
      </c>
      <c r="D27" s="132">
        <v>0</v>
      </c>
      <c r="E27" s="228">
        <v>75702.58</v>
      </c>
      <c r="F27" s="104">
        <v>265530.14</v>
      </c>
      <c r="G27" s="78">
        <v>0</v>
      </c>
      <c r="H27" s="78">
        <v>0</v>
      </c>
      <c r="I27" s="78">
        <v>0</v>
      </c>
      <c r="J27" s="104">
        <v>0</v>
      </c>
    </row>
    <row r="28" spans="1:10" ht="12.75">
      <c r="A28" s="3" t="s">
        <v>15</v>
      </c>
      <c r="B28" s="129">
        <v>0</v>
      </c>
      <c r="C28" s="78">
        <v>101118.7</v>
      </c>
      <c r="D28" s="103">
        <v>0</v>
      </c>
      <c r="E28" s="228">
        <v>5710</v>
      </c>
      <c r="F28" s="78">
        <v>0</v>
      </c>
      <c r="G28" s="78">
        <v>0</v>
      </c>
      <c r="H28" s="78">
        <v>0</v>
      </c>
      <c r="I28" s="78">
        <v>0</v>
      </c>
      <c r="J28" s="104">
        <v>0</v>
      </c>
    </row>
    <row r="29" spans="1:10" ht="12.75">
      <c r="A29" s="3"/>
      <c r="B29" s="89"/>
      <c r="C29" s="78"/>
      <c r="D29" s="103"/>
      <c r="E29" s="228"/>
      <c r="F29" s="78"/>
      <c r="G29" s="78"/>
      <c r="H29" s="78"/>
      <c r="I29" s="78"/>
      <c r="J29" s="78"/>
    </row>
    <row r="30" spans="1:10" ht="12.75">
      <c r="A30" s="3" t="s">
        <v>16</v>
      </c>
      <c r="B30" s="89">
        <v>0</v>
      </c>
      <c r="C30" s="78">
        <v>1010473.04</v>
      </c>
      <c r="D30" s="103">
        <v>72257.39</v>
      </c>
      <c r="E30" s="228">
        <v>63934.81</v>
      </c>
      <c r="F30" s="78">
        <v>0</v>
      </c>
      <c r="G30" s="72">
        <v>21141.68</v>
      </c>
      <c r="H30" s="72">
        <v>1363226.81</v>
      </c>
      <c r="I30" s="78">
        <v>0</v>
      </c>
      <c r="J30" s="104">
        <v>0</v>
      </c>
    </row>
    <row r="31" spans="1:10" ht="12.75">
      <c r="A31" s="3" t="s">
        <v>17</v>
      </c>
      <c r="B31" s="129">
        <v>0</v>
      </c>
      <c r="C31" s="78">
        <v>404117.92</v>
      </c>
      <c r="D31" s="103">
        <v>248845.91</v>
      </c>
      <c r="E31" s="228">
        <v>272280.27</v>
      </c>
      <c r="F31" s="78">
        <v>0</v>
      </c>
      <c r="G31" s="378">
        <v>0</v>
      </c>
      <c r="H31" s="72">
        <v>1837599.34</v>
      </c>
      <c r="I31" s="78">
        <v>0</v>
      </c>
      <c r="J31" s="104">
        <v>0</v>
      </c>
    </row>
    <row r="32" spans="1:10" ht="12.75">
      <c r="A32" s="3" t="s">
        <v>18</v>
      </c>
      <c r="B32" s="89">
        <v>0</v>
      </c>
      <c r="C32" s="78">
        <v>11230.93</v>
      </c>
      <c r="D32" s="103">
        <v>9739.45</v>
      </c>
      <c r="E32" s="228">
        <v>7731.26</v>
      </c>
      <c r="F32" s="78">
        <v>0</v>
      </c>
      <c r="G32" s="78">
        <v>0</v>
      </c>
      <c r="H32" s="78">
        <v>0</v>
      </c>
      <c r="I32" s="78">
        <v>0</v>
      </c>
      <c r="J32" s="104">
        <v>0</v>
      </c>
    </row>
    <row r="33" spans="1:10" ht="12.75">
      <c r="A33" s="3" t="s">
        <v>19</v>
      </c>
      <c r="B33" s="89">
        <v>0</v>
      </c>
      <c r="C33" s="78">
        <v>53774.05</v>
      </c>
      <c r="D33" s="103">
        <v>18485.64</v>
      </c>
      <c r="E33" s="228">
        <v>5469.89</v>
      </c>
      <c r="F33" s="78">
        <v>0</v>
      </c>
      <c r="G33" s="78">
        <v>0</v>
      </c>
      <c r="H33" s="78">
        <v>0</v>
      </c>
      <c r="I33" s="78">
        <v>0</v>
      </c>
      <c r="J33" s="78">
        <v>58910.53</v>
      </c>
    </row>
    <row r="34" spans="1:10" ht="12.75">
      <c r="A34" s="3" t="s">
        <v>20</v>
      </c>
      <c r="B34" s="221">
        <v>288777.43</v>
      </c>
      <c r="C34" s="78">
        <v>78717.82</v>
      </c>
      <c r="D34" s="103">
        <v>2329.86</v>
      </c>
      <c r="E34" s="228">
        <v>8100</v>
      </c>
      <c r="F34" s="78">
        <v>0</v>
      </c>
      <c r="G34" s="78">
        <v>0</v>
      </c>
      <c r="H34" s="78">
        <v>271109.01</v>
      </c>
      <c r="I34" s="78">
        <v>0</v>
      </c>
      <c r="J34" s="104">
        <v>0</v>
      </c>
    </row>
    <row r="35" spans="1:10" ht="12.75">
      <c r="A35" s="3"/>
      <c r="B35" s="89"/>
      <c r="C35" s="78"/>
      <c r="D35" s="103"/>
      <c r="E35" s="228"/>
      <c r="F35" s="78"/>
      <c r="G35" s="78"/>
      <c r="H35" s="78"/>
      <c r="I35" s="78"/>
      <c r="J35" s="78"/>
    </row>
    <row r="36" spans="1:10" ht="12.75">
      <c r="A36" s="3" t="s">
        <v>21</v>
      </c>
      <c r="B36" s="89">
        <v>0</v>
      </c>
      <c r="C36" s="78">
        <v>148303.53</v>
      </c>
      <c r="D36" s="103">
        <v>11509.22</v>
      </c>
      <c r="E36" s="228">
        <v>105.44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</row>
    <row r="37" spans="1:10" ht="12.75">
      <c r="A37" s="3" t="s">
        <v>22</v>
      </c>
      <c r="B37" s="221">
        <v>243075.82</v>
      </c>
      <c r="C37" s="78">
        <v>200552.86</v>
      </c>
      <c r="D37" s="103">
        <v>63422.15</v>
      </c>
      <c r="E37" s="228">
        <v>27860.9</v>
      </c>
      <c r="F37" s="78">
        <v>301672.57</v>
      </c>
      <c r="G37" s="78">
        <v>0</v>
      </c>
      <c r="H37" s="78">
        <v>0</v>
      </c>
      <c r="I37" s="78">
        <v>0</v>
      </c>
      <c r="J37" s="78">
        <v>0</v>
      </c>
    </row>
    <row r="38" spans="1:10" ht="12.75">
      <c r="A38" s="3" t="s">
        <v>23</v>
      </c>
      <c r="B38" s="129">
        <v>0</v>
      </c>
      <c r="C38" s="78">
        <v>163400.13</v>
      </c>
      <c r="D38" s="103">
        <v>28837.8</v>
      </c>
      <c r="E38" s="228">
        <v>26636.83</v>
      </c>
      <c r="F38" s="78">
        <v>362872.39</v>
      </c>
      <c r="G38" s="78">
        <v>0</v>
      </c>
      <c r="H38" s="78">
        <v>0</v>
      </c>
      <c r="I38" s="78">
        <v>0</v>
      </c>
      <c r="J38" s="78">
        <v>0</v>
      </c>
    </row>
    <row r="39" spans="1:11" ht="12.75">
      <c r="A39" s="13" t="s">
        <v>24</v>
      </c>
      <c r="B39" s="95">
        <v>0</v>
      </c>
      <c r="C39" s="105">
        <v>58986.85</v>
      </c>
      <c r="D39" s="106">
        <v>2796.77</v>
      </c>
      <c r="E39" s="229">
        <v>11602.68</v>
      </c>
      <c r="F39" s="105">
        <v>539904.06</v>
      </c>
      <c r="G39" s="105">
        <v>0</v>
      </c>
      <c r="H39" s="379">
        <v>0</v>
      </c>
      <c r="I39" s="105">
        <v>0</v>
      </c>
      <c r="J39" s="105">
        <v>0</v>
      </c>
      <c r="K39" s="16"/>
    </row>
    <row r="40" spans="1:11" ht="12.75">
      <c r="A40" s="3"/>
      <c r="B40" s="3"/>
      <c r="C40" s="16"/>
      <c r="D40" s="16"/>
      <c r="E40" s="16"/>
      <c r="F40" s="16"/>
      <c r="G40" s="16"/>
      <c r="H40" s="232"/>
      <c r="I40" s="16"/>
      <c r="J40" s="16"/>
      <c r="K40" s="16"/>
    </row>
    <row r="41" spans="1:11" ht="12.75">
      <c r="A41" s="3"/>
      <c r="B41" s="3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2.75">
      <c r="A42" s="3"/>
      <c r="B42" s="3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3"/>
      <c r="B43" s="3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3"/>
      <c r="B44" s="3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3"/>
      <c r="B45" s="3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3"/>
      <c r="B46" s="3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3"/>
      <c r="B47" s="3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3"/>
      <c r="B48" s="3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3"/>
      <c r="B49" s="3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3"/>
      <c r="B50" s="3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3"/>
      <c r="B51" s="3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2.75">
      <c r="A52" s="3"/>
      <c r="B52" s="3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2.75">
      <c r="A53" s="3"/>
      <c r="B53" s="3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2.75">
      <c r="A54" s="3"/>
      <c r="B54" s="3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2.75">
      <c r="A55" s="3"/>
      <c r="B55" s="3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3"/>
      <c r="B56" s="3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3"/>
      <c r="B57" s="3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3"/>
      <c r="B58" s="3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3"/>
      <c r="B59" s="3"/>
      <c r="C59" s="16"/>
      <c r="D59" s="16"/>
      <c r="E59" s="16"/>
      <c r="F59" s="16"/>
      <c r="G59" s="16"/>
      <c r="H59" s="16"/>
      <c r="I59" s="16"/>
      <c r="J59" s="16"/>
      <c r="K59" s="16"/>
    </row>
    <row r="60" spans="1:10" ht="12.75">
      <c r="A60" s="3"/>
      <c r="B60" s="3"/>
      <c r="C60" s="16"/>
      <c r="D60" s="16"/>
      <c r="E60" s="16"/>
      <c r="F60" s="16"/>
      <c r="G60" s="16"/>
      <c r="H60" s="16"/>
      <c r="I60" s="16"/>
      <c r="J60" s="16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</sheetData>
  <sheetProtection password="CAF5" sheet="1" objects="1" scenarios="1"/>
  <mergeCells count="8">
    <mergeCell ref="I6:I9"/>
    <mergeCell ref="J6:J9"/>
    <mergeCell ref="D7:D9"/>
    <mergeCell ref="A1:K1"/>
    <mergeCell ref="A3:K3"/>
    <mergeCell ref="C5:I5"/>
    <mergeCell ref="F7:F9"/>
    <mergeCell ref="B7:B9"/>
  </mergeCells>
  <printOptions horizontalCentered="1"/>
  <pageMargins left="0.87" right="0.32" top="0.83" bottom="1" header="0.67" footer="0.5"/>
  <pageSetup fitToHeight="1" fitToWidth="1" horizontalDpi="600" verticalDpi="600" orientation="landscape" scale="86" r:id="rId1"/>
  <headerFooter alignWithMargins="0">
    <oddFooter>&amp;L&amp;"Arial,Italic"&amp;9MSDE-DBS  10 / 2008&amp;C- 13 -&amp;R&amp;"Arial,Italic"&amp;9Selected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3">
      <selection activeCell="D25" sqref="D25"/>
    </sheetView>
  </sheetViews>
  <sheetFormatPr defaultColWidth="9.140625" defaultRowHeight="12.75"/>
  <cols>
    <col min="1" max="3" width="14.421875" style="0" customWidth="1"/>
    <col min="4" max="4" width="13.8515625" style="0" bestFit="1" customWidth="1"/>
    <col min="5" max="5" width="14.8515625" style="0" bestFit="1" customWidth="1"/>
    <col min="6" max="6" width="13.8515625" style="0" bestFit="1" customWidth="1"/>
    <col min="7" max="7" width="13.8515625" style="0" customWidth="1"/>
    <col min="8" max="8" width="11.421875" style="0" customWidth="1"/>
    <col min="9" max="9" width="13.8515625" style="0" bestFit="1" customWidth="1"/>
    <col min="10" max="10" width="13.8515625" style="0" customWidth="1"/>
    <col min="11" max="11" width="13.8515625" style="0" bestFit="1" customWidth="1"/>
    <col min="12" max="12" width="16.28125" style="0" customWidth="1"/>
  </cols>
  <sheetData>
    <row r="1" spans="1:11" ht="12.75">
      <c r="A1" s="448" t="s">
        <v>130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3" ht="12.75">
      <c r="A2" s="3"/>
      <c r="B2" s="3"/>
      <c r="C2" s="3"/>
    </row>
    <row r="3" spans="1:11" ht="12.75">
      <c r="A3" s="448" t="s">
        <v>229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0" ht="13.5" thickBot="1">
      <c r="A4" s="3"/>
      <c r="B4" s="3"/>
      <c r="C4" s="3"/>
      <c r="D4" s="3"/>
      <c r="E4" s="12"/>
      <c r="F4" s="12"/>
      <c r="G4" s="12"/>
      <c r="H4" s="12"/>
      <c r="I4" s="12"/>
      <c r="J4" s="12"/>
    </row>
    <row r="5" spans="1:11" ht="15" customHeight="1" thickTop="1">
      <c r="A5" s="6"/>
      <c r="B5" s="388" t="s">
        <v>82</v>
      </c>
      <c r="C5" s="388"/>
      <c r="D5" s="6"/>
      <c r="E5" s="388" t="s">
        <v>74</v>
      </c>
      <c r="F5" s="388"/>
      <c r="G5" s="388"/>
      <c r="H5" s="4"/>
      <c r="I5" s="460" t="s">
        <v>210</v>
      </c>
      <c r="J5" s="4"/>
      <c r="K5" s="6"/>
    </row>
    <row r="6" spans="1:11" ht="12.75">
      <c r="A6" s="3"/>
      <c r="B6" s="74" t="s">
        <v>79</v>
      </c>
      <c r="C6" s="67"/>
      <c r="D6" s="3"/>
      <c r="G6" s="99" t="s">
        <v>154</v>
      </c>
      <c r="I6" s="401"/>
      <c r="J6" s="74" t="s">
        <v>159</v>
      </c>
      <c r="K6" s="455" t="s">
        <v>216</v>
      </c>
    </row>
    <row r="7" spans="1:11" ht="12.75">
      <c r="A7" s="3" t="s">
        <v>85</v>
      </c>
      <c r="B7" s="74" t="s">
        <v>36</v>
      </c>
      <c r="C7" s="74" t="s">
        <v>80</v>
      </c>
      <c r="D7" s="433" t="s">
        <v>228</v>
      </c>
      <c r="F7" s="4"/>
      <c r="G7" s="74" t="s">
        <v>131</v>
      </c>
      <c r="H7" s="4" t="s">
        <v>48</v>
      </c>
      <c r="I7" s="401"/>
      <c r="J7" s="74" t="s">
        <v>33</v>
      </c>
      <c r="K7" s="434"/>
    </row>
    <row r="8" spans="1:11" ht="12.75">
      <c r="A8" s="3" t="s">
        <v>35</v>
      </c>
      <c r="B8" s="74" t="s">
        <v>84</v>
      </c>
      <c r="C8" s="74" t="s">
        <v>158</v>
      </c>
      <c r="D8" s="434"/>
      <c r="E8" s="109" t="s">
        <v>153</v>
      </c>
      <c r="F8" s="74" t="s">
        <v>153</v>
      </c>
      <c r="G8" s="74" t="s">
        <v>33</v>
      </c>
      <c r="H8" s="74" t="s">
        <v>66</v>
      </c>
      <c r="I8" s="401"/>
      <c r="J8" s="74" t="s">
        <v>140</v>
      </c>
      <c r="K8" s="434"/>
    </row>
    <row r="9" spans="1:11" ht="13.5" thickBot="1">
      <c r="A9" s="7" t="s">
        <v>144</v>
      </c>
      <c r="B9" s="81" t="s">
        <v>78</v>
      </c>
      <c r="C9" s="81" t="s">
        <v>81</v>
      </c>
      <c r="D9" s="435"/>
      <c r="E9" s="110" t="s">
        <v>160</v>
      </c>
      <c r="F9" s="81" t="s">
        <v>58</v>
      </c>
      <c r="G9" s="81" t="s">
        <v>132</v>
      </c>
      <c r="H9" s="81" t="s">
        <v>149</v>
      </c>
      <c r="I9" s="393"/>
      <c r="J9" s="81" t="s">
        <v>59</v>
      </c>
      <c r="K9" s="435"/>
    </row>
    <row r="10" spans="1:11" s="48" customFormat="1" ht="12.75">
      <c r="A10" s="54" t="s">
        <v>0</v>
      </c>
      <c r="B10" s="66">
        <f>SUM(B12:B39)</f>
        <v>122644704.16000001</v>
      </c>
      <c r="C10" s="66">
        <f>SUM(C12:C39)</f>
        <v>12361951.32</v>
      </c>
      <c r="D10" s="66">
        <f>SUM(D12:D39)</f>
        <v>12924308.700000001</v>
      </c>
      <c r="E10" s="66">
        <f aca="true" t="shared" si="0" ref="E10:K10">SUM(E12:E39)</f>
        <v>168189030.44</v>
      </c>
      <c r="F10" s="66">
        <f t="shared" si="0"/>
        <v>4705732.62</v>
      </c>
      <c r="G10" s="66">
        <f t="shared" si="0"/>
        <v>3021030.8499999996</v>
      </c>
      <c r="H10" s="66">
        <f t="shared" si="0"/>
        <v>183598.68000000002</v>
      </c>
      <c r="I10" s="66">
        <f t="shared" si="0"/>
        <v>42410613.60000002</v>
      </c>
      <c r="J10" s="66">
        <f t="shared" si="0"/>
        <v>161448.57</v>
      </c>
      <c r="K10" s="66">
        <f t="shared" si="0"/>
        <v>324069.38</v>
      </c>
    </row>
    <row r="11" spans="1:11" ht="12.75">
      <c r="A11" s="3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2.75">
      <c r="A12" s="3" t="s">
        <v>1</v>
      </c>
      <c r="B12" s="75">
        <v>2217272.14</v>
      </c>
      <c r="C12" s="75">
        <v>305501.14</v>
      </c>
      <c r="D12" s="119">
        <v>0</v>
      </c>
      <c r="E12" s="78">
        <v>2405845.78</v>
      </c>
      <c r="F12" s="78">
        <v>113116</v>
      </c>
      <c r="G12" s="78">
        <v>124976.25</v>
      </c>
      <c r="H12" s="78">
        <v>0</v>
      </c>
      <c r="I12" s="78">
        <v>814282.84</v>
      </c>
      <c r="J12" s="78">
        <v>0</v>
      </c>
      <c r="K12" s="78">
        <v>0</v>
      </c>
    </row>
    <row r="13" spans="1:11" ht="12.75">
      <c r="A13" s="3" t="s">
        <v>2</v>
      </c>
      <c r="B13" s="75">
        <v>6173457</v>
      </c>
      <c r="C13" s="75">
        <v>1094783</v>
      </c>
      <c r="D13" s="78">
        <v>1450516</v>
      </c>
      <c r="E13" s="78">
        <v>15630629.33</v>
      </c>
      <c r="F13" s="78">
        <v>527621.55</v>
      </c>
      <c r="G13" s="78">
        <v>601979.63</v>
      </c>
      <c r="H13" s="78">
        <v>94712.73</v>
      </c>
      <c r="I13" s="72">
        <v>2237023.4</v>
      </c>
      <c r="J13" s="78">
        <v>0</v>
      </c>
      <c r="K13" s="78">
        <v>0</v>
      </c>
    </row>
    <row r="14" spans="1:11" ht="12.75">
      <c r="A14" s="3" t="s">
        <v>3</v>
      </c>
      <c r="B14" s="75">
        <v>24618935.62</v>
      </c>
      <c r="C14" s="119">
        <v>0</v>
      </c>
      <c r="D14" s="78">
        <v>945500.69</v>
      </c>
      <c r="E14" s="78">
        <v>19596311.089999996</v>
      </c>
      <c r="F14" s="78">
        <v>751114.28</v>
      </c>
      <c r="G14" s="104">
        <v>0</v>
      </c>
      <c r="H14" s="78">
        <v>77821.46</v>
      </c>
      <c r="I14" s="72">
        <v>11949010.83</v>
      </c>
      <c r="J14" s="78">
        <v>0</v>
      </c>
      <c r="K14" s="78">
        <v>0</v>
      </c>
    </row>
    <row r="15" spans="1:11" ht="12.75">
      <c r="A15" s="3" t="s">
        <v>4</v>
      </c>
      <c r="B15" s="75">
        <v>14842750</v>
      </c>
      <c r="C15" s="75">
        <v>1724790</v>
      </c>
      <c r="D15" s="104">
        <v>5519950</v>
      </c>
      <c r="E15" s="78">
        <v>22468435.740000002</v>
      </c>
      <c r="F15" s="78">
        <v>818623.36</v>
      </c>
      <c r="G15" s="78">
        <v>863882</v>
      </c>
      <c r="H15" s="78">
        <v>0</v>
      </c>
      <c r="I15" s="78">
        <v>4409539.6</v>
      </c>
      <c r="J15" s="78">
        <v>161448.57</v>
      </c>
      <c r="K15" s="78">
        <v>324069.38</v>
      </c>
    </row>
    <row r="16" spans="1:11" ht="12.75">
      <c r="A16" s="3" t="s">
        <v>5</v>
      </c>
      <c r="B16" s="75">
        <v>980491.44</v>
      </c>
      <c r="C16" s="75">
        <v>234486</v>
      </c>
      <c r="D16" s="78">
        <v>280436.01</v>
      </c>
      <c r="E16" s="78">
        <v>3049390.19</v>
      </c>
      <c r="F16" s="119">
        <v>0</v>
      </c>
      <c r="G16" s="78">
        <v>0</v>
      </c>
      <c r="H16" s="104">
        <v>0</v>
      </c>
      <c r="I16" s="78">
        <v>468577.6</v>
      </c>
      <c r="J16" s="78">
        <v>0</v>
      </c>
      <c r="K16" s="78">
        <v>0</v>
      </c>
    </row>
    <row r="17" spans="1:11" ht="12.75">
      <c r="A17" s="3"/>
      <c r="B17" s="75"/>
      <c r="C17" s="75"/>
      <c r="D17" s="119"/>
      <c r="E17" s="78"/>
      <c r="F17" s="78"/>
      <c r="G17" s="78"/>
      <c r="H17" s="78"/>
      <c r="I17" s="78"/>
      <c r="J17" s="78"/>
      <c r="K17" s="78"/>
    </row>
    <row r="18" spans="1:11" ht="12.75">
      <c r="A18" s="3" t="s">
        <v>6</v>
      </c>
      <c r="B18" s="75">
        <v>1080222.84</v>
      </c>
      <c r="C18" s="119">
        <v>0</v>
      </c>
      <c r="D18" s="119">
        <v>0</v>
      </c>
      <c r="E18" s="78">
        <v>1215729.6</v>
      </c>
      <c r="F18" s="78">
        <v>59013</v>
      </c>
      <c r="G18" s="78">
        <v>64966.41</v>
      </c>
      <c r="H18" s="78">
        <v>0</v>
      </c>
      <c r="I18" s="78">
        <v>304534.93</v>
      </c>
      <c r="J18" s="78">
        <v>0</v>
      </c>
      <c r="K18" s="78">
        <v>0</v>
      </c>
    </row>
    <row r="19" spans="1:11" ht="12.75">
      <c r="A19" s="3" t="s">
        <v>7</v>
      </c>
      <c r="B19" s="75">
        <v>1463247.55</v>
      </c>
      <c r="C19" s="75">
        <v>465576.92</v>
      </c>
      <c r="D19" s="119">
        <v>0</v>
      </c>
      <c r="E19" s="104">
        <v>4936241.08</v>
      </c>
      <c r="F19" s="78">
        <v>184614</v>
      </c>
      <c r="G19" s="78">
        <v>198762</v>
      </c>
      <c r="H19" s="78">
        <v>0</v>
      </c>
      <c r="I19" s="78">
        <v>743151.3</v>
      </c>
      <c r="J19" s="78">
        <v>0</v>
      </c>
      <c r="K19" s="78">
        <v>0</v>
      </c>
    </row>
    <row r="20" spans="1:11" ht="12.75">
      <c r="A20" s="3" t="s">
        <v>8</v>
      </c>
      <c r="B20" s="75">
        <v>1964065.29</v>
      </c>
      <c r="C20" s="75">
        <v>199317.28</v>
      </c>
      <c r="D20" s="78">
        <v>0</v>
      </c>
      <c r="E20" s="78">
        <v>3399328.61</v>
      </c>
      <c r="F20" s="78">
        <v>9082</v>
      </c>
      <c r="G20" s="78">
        <v>111234</v>
      </c>
      <c r="H20" s="78">
        <v>4955.64</v>
      </c>
      <c r="I20" s="78">
        <v>700478.61</v>
      </c>
      <c r="J20" s="78">
        <v>0</v>
      </c>
      <c r="K20" s="78">
        <v>0</v>
      </c>
    </row>
    <row r="21" spans="1:11" ht="12.75">
      <c r="A21" s="3" t="s">
        <v>9</v>
      </c>
      <c r="B21" s="75">
        <v>2695806.8</v>
      </c>
      <c r="C21" s="75">
        <v>480022.2</v>
      </c>
      <c r="D21" s="104">
        <v>1321695.91</v>
      </c>
      <c r="E21" s="78">
        <v>4393678.11</v>
      </c>
      <c r="F21" s="78">
        <v>122877.24</v>
      </c>
      <c r="G21" s="78">
        <v>0</v>
      </c>
      <c r="H21" s="78">
        <v>0</v>
      </c>
      <c r="I21" s="78">
        <v>197991.51</v>
      </c>
      <c r="J21" s="78">
        <v>0</v>
      </c>
      <c r="K21" s="78">
        <v>0</v>
      </c>
    </row>
    <row r="22" spans="1:11" ht="12.75">
      <c r="A22" s="3" t="s">
        <v>10</v>
      </c>
      <c r="B22" s="75">
        <v>1127402</v>
      </c>
      <c r="C22" s="75">
        <v>88909</v>
      </c>
      <c r="D22" s="119">
        <v>0</v>
      </c>
      <c r="E22" s="78">
        <v>1036333.51</v>
      </c>
      <c r="F22" s="78">
        <v>38977.32</v>
      </c>
      <c r="G22" s="78">
        <v>75284</v>
      </c>
      <c r="H22" s="78">
        <v>0</v>
      </c>
      <c r="I22" s="78">
        <v>355051.71</v>
      </c>
      <c r="J22" s="78">
        <v>0</v>
      </c>
      <c r="K22" s="78">
        <v>0</v>
      </c>
    </row>
    <row r="23" spans="1:11" ht="12.75">
      <c r="A23" s="3"/>
      <c r="B23" s="75"/>
      <c r="C23" s="75"/>
      <c r="D23" s="119"/>
      <c r="E23" s="78"/>
      <c r="F23" s="78"/>
      <c r="G23" s="78"/>
      <c r="H23" s="78"/>
      <c r="I23" s="78"/>
      <c r="J23" s="78"/>
      <c r="K23" s="78"/>
    </row>
    <row r="24" spans="1:11" ht="12.75">
      <c r="A24" s="3" t="s">
        <v>11</v>
      </c>
      <c r="B24" s="75">
        <v>2870646</v>
      </c>
      <c r="C24" s="75">
        <v>433891</v>
      </c>
      <c r="D24" s="78">
        <v>127346.13</v>
      </c>
      <c r="E24" s="78">
        <v>6780758.09</v>
      </c>
      <c r="F24" s="78">
        <v>193210</v>
      </c>
      <c r="G24" s="78">
        <v>0</v>
      </c>
      <c r="H24" s="78">
        <v>0</v>
      </c>
      <c r="I24" s="78">
        <v>1090956.85</v>
      </c>
      <c r="J24" s="78">
        <v>0</v>
      </c>
      <c r="K24" s="78">
        <v>0</v>
      </c>
    </row>
    <row r="25" spans="1:11" ht="12.75">
      <c r="A25" s="3" t="s">
        <v>12</v>
      </c>
      <c r="B25" s="75">
        <v>892296</v>
      </c>
      <c r="C25" s="75">
        <v>119016</v>
      </c>
      <c r="D25" s="78">
        <v>0</v>
      </c>
      <c r="E25" s="78">
        <v>1023026.57</v>
      </c>
      <c r="F25" s="78">
        <v>39915</v>
      </c>
      <c r="G25" s="78">
        <v>19973</v>
      </c>
      <c r="H25" s="78">
        <v>0</v>
      </c>
      <c r="I25" s="78">
        <v>410648.9</v>
      </c>
      <c r="J25" s="78">
        <v>0</v>
      </c>
      <c r="K25" s="78">
        <v>0</v>
      </c>
    </row>
    <row r="26" spans="1:11" ht="12.75">
      <c r="A26" s="3" t="s">
        <v>13</v>
      </c>
      <c r="B26" s="75">
        <v>4025937</v>
      </c>
      <c r="C26" s="75">
        <v>708167</v>
      </c>
      <c r="D26" s="78">
        <v>474213.61</v>
      </c>
      <c r="E26" s="78">
        <v>8042682.210000001</v>
      </c>
      <c r="F26" s="78">
        <v>331661</v>
      </c>
      <c r="G26" s="78">
        <v>0</v>
      </c>
      <c r="H26" s="78">
        <v>6108.85</v>
      </c>
      <c r="I26" s="78">
        <v>1319887.78</v>
      </c>
      <c r="J26" s="78">
        <v>0</v>
      </c>
      <c r="K26" s="78">
        <v>0</v>
      </c>
    </row>
    <row r="27" spans="1:11" ht="12.75">
      <c r="A27" s="3" t="s">
        <v>14</v>
      </c>
      <c r="B27" s="75">
        <v>2633779</v>
      </c>
      <c r="C27" s="75">
        <v>718218</v>
      </c>
      <c r="D27" s="78">
        <v>183203</v>
      </c>
      <c r="E27" s="78">
        <v>8385090.8900000015</v>
      </c>
      <c r="F27" s="78">
        <v>263929.84</v>
      </c>
      <c r="G27" s="78">
        <v>341498.79</v>
      </c>
      <c r="H27" s="78">
        <v>0</v>
      </c>
      <c r="I27" s="78">
        <v>1320783.89</v>
      </c>
      <c r="J27" s="78">
        <v>0</v>
      </c>
      <c r="K27" s="78">
        <v>0</v>
      </c>
    </row>
    <row r="28" spans="1:11" ht="12.75">
      <c r="A28" s="3" t="s">
        <v>15</v>
      </c>
      <c r="B28" s="75">
        <v>503454</v>
      </c>
      <c r="C28" s="75">
        <v>53066</v>
      </c>
      <c r="D28" s="78">
        <v>42907.88</v>
      </c>
      <c r="E28" s="78">
        <v>593923.94</v>
      </c>
      <c r="F28" s="78">
        <v>12281.44</v>
      </c>
      <c r="G28" s="78">
        <v>45488</v>
      </c>
      <c r="H28" s="78">
        <v>0</v>
      </c>
      <c r="I28" s="78">
        <v>163648.62</v>
      </c>
      <c r="J28" s="78">
        <v>0</v>
      </c>
      <c r="K28" s="78">
        <v>0</v>
      </c>
    </row>
    <row r="29" spans="1:11" ht="12.75">
      <c r="A29" s="3"/>
      <c r="B29" s="75"/>
      <c r="C29" s="75"/>
      <c r="D29" s="119"/>
      <c r="E29" s="78"/>
      <c r="F29" s="78"/>
      <c r="G29" s="78"/>
      <c r="H29" s="78"/>
      <c r="I29" s="78"/>
      <c r="J29" s="78"/>
      <c r="K29" s="78"/>
    </row>
    <row r="30" spans="1:11" ht="12.75">
      <c r="A30" s="3" t="s">
        <v>16</v>
      </c>
      <c r="B30" s="75">
        <v>15717692.63</v>
      </c>
      <c r="C30" s="75">
        <v>2063430.8</v>
      </c>
      <c r="D30" s="78">
        <v>607843</v>
      </c>
      <c r="E30" s="78">
        <v>26092335.48</v>
      </c>
      <c r="F30" s="78">
        <v>875519.98</v>
      </c>
      <c r="G30" s="78">
        <v>0</v>
      </c>
      <c r="H30" s="78">
        <v>0</v>
      </c>
      <c r="I30" s="78">
        <v>4991788.38</v>
      </c>
      <c r="J30" s="78">
        <v>0</v>
      </c>
      <c r="K30" s="78">
        <v>0</v>
      </c>
    </row>
    <row r="31" spans="1:11" ht="12.75">
      <c r="A31" s="3" t="s">
        <v>17</v>
      </c>
      <c r="B31" s="75">
        <v>27161072</v>
      </c>
      <c r="C31" s="75">
        <v>2655359</v>
      </c>
      <c r="D31" s="78">
        <v>74927.31</v>
      </c>
      <c r="E31" s="78">
        <v>24634672.5</v>
      </c>
      <c r="F31" s="119">
        <v>0</v>
      </c>
      <c r="G31" s="78">
        <v>0</v>
      </c>
      <c r="H31" s="119">
        <v>0</v>
      </c>
      <c r="I31" s="78">
        <v>7328225.6</v>
      </c>
      <c r="J31" s="78">
        <v>0</v>
      </c>
      <c r="K31" s="78">
        <v>0</v>
      </c>
    </row>
    <row r="32" spans="1:11" ht="12.75">
      <c r="A32" s="3" t="s">
        <v>18</v>
      </c>
      <c r="B32" s="75">
        <v>529679.77</v>
      </c>
      <c r="C32" s="119">
        <v>0</v>
      </c>
      <c r="D32" s="78">
        <v>6000</v>
      </c>
      <c r="E32" s="78">
        <v>1338424.4</v>
      </c>
      <c r="F32" s="78">
        <v>78036.77</v>
      </c>
      <c r="G32" s="78">
        <v>75581.37</v>
      </c>
      <c r="H32" s="78">
        <v>0</v>
      </c>
      <c r="I32" s="78">
        <v>225924.08</v>
      </c>
      <c r="J32" s="78">
        <v>0</v>
      </c>
      <c r="K32" s="78">
        <v>0</v>
      </c>
    </row>
    <row r="33" spans="1:11" ht="12.75">
      <c r="A33" s="3" t="s">
        <v>19</v>
      </c>
      <c r="B33" s="75">
        <v>1799685.05</v>
      </c>
      <c r="C33" s="75">
        <v>260464</v>
      </c>
      <c r="D33" s="78">
        <v>1851391.16</v>
      </c>
      <c r="E33" s="78">
        <v>3164621.18</v>
      </c>
      <c r="F33" s="78">
        <v>110059.68</v>
      </c>
      <c r="G33" s="78">
        <v>0</v>
      </c>
      <c r="H33" s="78">
        <v>0</v>
      </c>
      <c r="I33" s="78">
        <v>832649.21</v>
      </c>
      <c r="J33" s="78">
        <v>0</v>
      </c>
      <c r="K33" s="78">
        <v>0</v>
      </c>
    </row>
    <row r="34" spans="1:11" ht="12.75">
      <c r="A34" s="3" t="s">
        <v>20</v>
      </c>
      <c r="B34" s="75">
        <v>834718.15</v>
      </c>
      <c r="C34" s="75">
        <v>42414</v>
      </c>
      <c r="D34" s="119">
        <v>0</v>
      </c>
      <c r="E34" s="78">
        <v>670468.2</v>
      </c>
      <c r="F34" s="78">
        <v>30396.08</v>
      </c>
      <c r="G34" s="78">
        <v>47034.71</v>
      </c>
      <c r="H34" s="78">
        <v>0</v>
      </c>
      <c r="I34" s="78">
        <v>269126</v>
      </c>
      <c r="J34" s="78">
        <v>0</v>
      </c>
      <c r="K34" s="78">
        <v>0</v>
      </c>
    </row>
    <row r="35" spans="1:11" ht="12.75">
      <c r="A35" s="3"/>
      <c r="B35" s="75"/>
      <c r="C35" s="75"/>
      <c r="D35" s="119"/>
      <c r="E35" s="78"/>
      <c r="F35" s="78"/>
      <c r="G35" s="78"/>
      <c r="H35" s="78"/>
      <c r="I35" s="78"/>
      <c r="J35" s="35"/>
      <c r="K35" s="78"/>
    </row>
    <row r="36" spans="1:11" ht="12.75">
      <c r="A36" s="3" t="s">
        <v>21</v>
      </c>
      <c r="B36" s="75">
        <v>531850.62</v>
      </c>
      <c r="C36" s="119">
        <v>0</v>
      </c>
      <c r="D36" s="119">
        <v>0</v>
      </c>
      <c r="E36" s="78">
        <v>952483.93</v>
      </c>
      <c r="F36" s="78">
        <v>22816.99</v>
      </c>
      <c r="G36" s="78">
        <v>62968.88</v>
      </c>
      <c r="H36" s="78">
        <v>0</v>
      </c>
      <c r="I36" s="78">
        <v>115174.67</v>
      </c>
      <c r="J36" s="78">
        <v>0</v>
      </c>
      <c r="K36" s="78">
        <v>0</v>
      </c>
    </row>
    <row r="37" spans="1:11" ht="12.75">
      <c r="A37" s="3" t="s">
        <v>22</v>
      </c>
      <c r="B37" s="75">
        <v>3667158</v>
      </c>
      <c r="C37" s="75">
        <v>351210</v>
      </c>
      <c r="D37" s="225">
        <v>38378</v>
      </c>
      <c r="E37" s="78">
        <v>4185152.93</v>
      </c>
      <c r="F37" s="78">
        <v>13194.73</v>
      </c>
      <c r="G37" s="78">
        <v>167989.58</v>
      </c>
      <c r="H37" s="78">
        <v>0</v>
      </c>
      <c r="I37" s="78">
        <v>887049.24</v>
      </c>
      <c r="J37" s="78">
        <v>0</v>
      </c>
      <c r="K37" s="78">
        <v>0</v>
      </c>
    </row>
    <row r="38" spans="1:11" ht="12.75">
      <c r="A38" s="3" t="s">
        <v>23</v>
      </c>
      <c r="B38" s="75">
        <v>3092291.03</v>
      </c>
      <c r="C38" s="75">
        <v>363329.98</v>
      </c>
      <c r="D38" s="119">
        <v>0</v>
      </c>
      <c r="E38" s="78">
        <v>2717708.98</v>
      </c>
      <c r="F38" s="78">
        <v>103903</v>
      </c>
      <c r="G38" s="78">
        <v>136188</v>
      </c>
      <c r="H38" s="78">
        <v>0</v>
      </c>
      <c r="I38" s="78">
        <v>583041.42</v>
      </c>
      <c r="J38" s="78">
        <v>0</v>
      </c>
      <c r="K38" s="78">
        <v>0</v>
      </c>
    </row>
    <row r="39" spans="1:11" ht="12.75">
      <c r="A39" s="13" t="s">
        <v>24</v>
      </c>
      <c r="B39" s="79">
        <v>1220794.23</v>
      </c>
      <c r="C39" s="117">
        <v>0</v>
      </c>
      <c r="D39" s="117">
        <v>0</v>
      </c>
      <c r="E39" s="105">
        <v>1475758.1</v>
      </c>
      <c r="F39" s="106">
        <v>5769.36</v>
      </c>
      <c r="G39" s="105">
        <v>83224.23</v>
      </c>
      <c r="H39" s="105">
        <v>0</v>
      </c>
      <c r="I39" s="105">
        <v>692066.63</v>
      </c>
      <c r="J39" s="105">
        <v>0</v>
      </c>
      <c r="K39" s="105">
        <v>0</v>
      </c>
    </row>
    <row r="40" spans="1:11" ht="12.75">
      <c r="A40" s="3"/>
      <c r="B40" s="3"/>
      <c r="C40" s="3"/>
      <c r="D40" s="16"/>
      <c r="E40" s="16"/>
      <c r="F40" s="16"/>
      <c r="G40" s="16"/>
      <c r="H40" s="16"/>
      <c r="K40" s="16"/>
    </row>
    <row r="41" spans="1:8" ht="12.75">
      <c r="A41" s="3"/>
      <c r="B41" s="3"/>
      <c r="C41" s="3"/>
      <c r="D41" s="16"/>
      <c r="E41" s="16"/>
      <c r="F41" s="16"/>
      <c r="G41" s="16"/>
      <c r="H41" s="16"/>
    </row>
    <row r="42" spans="1:8" ht="12.75">
      <c r="A42" s="3"/>
      <c r="B42" s="3"/>
      <c r="C42" s="3"/>
      <c r="D42" s="16"/>
      <c r="E42" s="16"/>
      <c r="F42" s="16"/>
      <c r="G42" s="16"/>
      <c r="H42" s="16"/>
    </row>
    <row r="43" spans="1:8" ht="12.75">
      <c r="A43" s="3"/>
      <c r="B43" s="3"/>
      <c r="C43" s="3"/>
      <c r="D43" s="16"/>
      <c r="E43" s="16"/>
      <c r="F43" s="16"/>
      <c r="G43" s="16"/>
      <c r="H43" s="16"/>
    </row>
    <row r="44" spans="1:8" ht="12.75">
      <c r="A44" s="3"/>
      <c r="B44" s="3"/>
      <c r="C44" s="3"/>
      <c r="D44" s="16"/>
      <c r="E44" s="16"/>
      <c r="F44" s="16"/>
      <c r="G44" s="16"/>
      <c r="H44" s="16"/>
    </row>
    <row r="45" spans="1:8" ht="12.75">
      <c r="A45" s="3"/>
      <c r="B45" s="3"/>
      <c r="C45" s="3"/>
      <c r="D45" s="16"/>
      <c r="E45" s="16"/>
      <c r="F45" s="16"/>
      <c r="G45" s="16"/>
      <c r="H45" s="16"/>
    </row>
    <row r="46" spans="1:8" ht="12.75">
      <c r="A46" s="3"/>
      <c r="B46" s="3"/>
      <c r="C46" s="3"/>
      <c r="D46" s="16"/>
      <c r="E46" s="16"/>
      <c r="F46" s="16"/>
      <c r="G46" s="16"/>
      <c r="H46" s="16"/>
    </row>
    <row r="47" spans="1:8" ht="12.75">
      <c r="A47" s="3"/>
      <c r="B47" s="3"/>
      <c r="C47" s="3"/>
      <c r="D47" s="16"/>
      <c r="E47" s="16"/>
      <c r="F47" s="16"/>
      <c r="G47" s="16"/>
      <c r="H47" s="16"/>
    </row>
    <row r="48" spans="1:8" ht="12.75">
      <c r="A48" s="3"/>
      <c r="B48" s="3"/>
      <c r="C48" s="3"/>
      <c r="D48" s="16"/>
      <c r="E48" s="16"/>
      <c r="F48" s="16"/>
      <c r="G48" s="16"/>
      <c r="H48" s="16"/>
    </row>
    <row r="49" spans="1:8" ht="12.75">
      <c r="A49" s="3"/>
      <c r="B49" s="3"/>
      <c r="C49" s="3"/>
      <c r="D49" s="16"/>
      <c r="E49" s="16"/>
      <c r="F49" s="16"/>
      <c r="G49" s="16"/>
      <c r="H49" s="16"/>
    </row>
    <row r="50" spans="1:8" ht="12.75">
      <c r="A50" s="3"/>
      <c r="B50" s="3"/>
      <c r="C50" s="3"/>
      <c r="D50" s="16"/>
      <c r="E50" s="16"/>
      <c r="F50" s="16"/>
      <c r="G50" s="16"/>
      <c r="H50" s="16"/>
    </row>
    <row r="51" spans="1:8" ht="12.75">
      <c r="A51" s="3"/>
      <c r="B51" s="3"/>
      <c r="C51" s="3"/>
      <c r="D51" s="16"/>
      <c r="E51" s="16"/>
      <c r="F51" s="16"/>
      <c r="G51" s="16"/>
      <c r="H51" s="16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</sheetData>
  <sheetProtection password="CAF5" sheet="1" objects="1" scenarios="1"/>
  <mergeCells count="7">
    <mergeCell ref="A1:K1"/>
    <mergeCell ref="A3:K3"/>
    <mergeCell ref="E5:G5"/>
    <mergeCell ref="I5:I9"/>
    <mergeCell ref="K6:K9"/>
    <mergeCell ref="D7:D9"/>
    <mergeCell ref="B5:C5"/>
  </mergeCells>
  <printOptions horizontalCentered="1"/>
  <pageMargins left="0.45" right="0.52" top="0.83" bottom="1" header="0.67" footer="0.5"/>
  <pageSetup fitToHeight="1" fitToWidth="1" horizontalDpi="600" verticalDpi="600" orientation="landscape" scale="84" r:id="rId1"/>
  <headerFooter alignWithMargins="0">
    <oddFooter>&amp;L&amp;"Arial,Italic"&amp;9MSDE-DBS 10 / 2008
&amp;C- 14 -&amp;R&amp;"Arial,Italic"&amp;9Selected Financial Data-Part 1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3">
      <selection activeCell="K14" sqref="K14"/>
    </sheetView>
  </sheetViews>
  <sheetFormatPr defaultColWidth="9.140625" defaultRowHeight="12.75"/>
  <cols>
    <col min="1" max="1" width="17.57421875" style="0" customWidth="1"/>
    <col min="2" max="2" width="14.28125" style="0" customWidth="1"/>
    <col min="3" max="3" width="12.8515625" style="0" customWidth="1"/>
    <col min="4" max="4" width="13.00390625" style="0" customWidth="1"/>
    <col min="5" max="5" width="11.421875" style="0" customWidth="1"/>
    <col min="6" max="7" width="10.8515625" style="0" customWidth="1"/>
    <col min="8" max="10" width="12.421875" style="0" customWidth="1"/>
    <col min="11" max="11" width="14.421875" style="0" customWidth="1"/>
    <col min="12" max="12" width="12.28125" style="0" bestFit="1" customWidth="1"/>
  </cols>
  <sheetData>
    <row r="1" spans="1:11" ht="12.75">
      <c r="A1" s="448" t="s">
        <v>130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4" ht="12.75">
      <c r="A2" s="3"/>
      <c r="B2" s="3"/>
      <c r="C2" s="3"/>
      <c r="D2" s="3"/>
    </row>
    <row r="3" spans="1:11" ht="12.75">
      <c r="A3" s="448" t="s">
        <v>229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7" ht="15" customHeight="1" thickBot="1">
      <c r="A4" s="3"/>
      <c r="B4" s="3"/>
      <c r="C4" s="3"/>
      <c r="D4" s="3"/>
      <c r="E4" s="3"/>
      <c r="F4" s="3"/>
      <c r="G4" s="3"/>
      <c r="H4" s="3"/>
      <c r="I4" s="3"/>
      <c r="J4" s="12"/>
      <c r="K4" s="12"/>
      <c r="Q4" s="3"/>
    </row>
    <row r="5" spans="1:17" ht="17.25" customHeight="1" thickTop="1">
      <c r="A5" s="6"/>
      <c r="B5" s="6"/>
      <c r="C5" s="18"/>
      <c r="D5" s="18"/>
      <c r="E5" s="80" t="s">
        <v>174</v>
      </c>
      <c r="F5" s="462" t="s">
        <v>171</v>
      </c>
      <c r="G5" s="468" t="s">
        <v>234</v>
      </c>
      <c r="H5" s="18"/>
      <c r="I5" s="18"/>
      <c r="J5" s="101"/>
      <c r="K5" s="101"/>
      <c r="Q5" s="3"/>
    </row>
    <row r="6" spans="1:17" ht="12.75" customHeight="1">
      <c r="A6" s="3"/>
      <c r="B6" s="3"/>
      <c r="C6" s="74" t="s">
        <v>155</v>
      </c>
      <c r="D6" s="461" t="s">
        <v>211</v>
      </c>
      <c r="E6" s="74" t="s">
        <v>175</v>
      </c>
      <c r="F6" s="463"/>
      <c r="G6" s="401"/>
      <c r="H6" s="465" t="s">
        <v>237</v>
      </c>
      <c r="I6" s="108"/>
      <c r="J6" s="455" t="s">
        <v>235</v>
      </c>
      <c r="K6" s="433"/>
      <c r="Q6" s="3"/>
    </row>
    <row r="7" spans="1:17" ht="12.75">
      <c r="A7" s="3" t="s">
        <v>85</v>
      </c>
      <c r="B7" s="3"/>
      <c r="C7" s="74" t="s">
        <v>37</v>
      </c>
      <c r="D7" s="456"/>
      <c r="E7" s="74" t="s">
        <v>176</v>
      </c>
      <c r="F7" s="463"/>
      <c r="G7" s="401"/>
      <c r="H7" s="466"/>
      <c r="I7" s="108"/>
      <c r="J7" s="469"/>
      <c r="K7" s="469"/>
      <c r="Q7" s="3"/>
    </row>
    <row r="8" spans="1:17" ht="12.75">
      <c r="A8" s="3" t="s">
        <v>35</v>
      </c>
      <c r="B8" s="4" t="s">
        <v>230</v>
      </c>
      <c r="C8" s="74" t="s">
        <v>73</v>
      </c>
      <c r="D8" s="456"/>
      <c r="E8" s="74" t="s">
        <v>177</v>
      </c>
      <c r="F8" s="463"/>
      <c r="G8" s="401"/>
      <c r="H8" s="466"/>
      <c r="I8" s="74" t="s">
        <v>179</v>
      </c>
      <c r="J8" s="470" t="s">
        <v>236</v>
      </c>
      <c r="K8" s="74" t="s">
        <v>180</v>
      </c>
      <c r="Q8" s="3"/>
    </row>
    <row r="9" spans="1:17" ht="16.5" customHeight="1" thickBot="1">
      <c r="A9" s="7" t="s">
        <v>144</v>
      </c>
      <c r="B9" s="8" t="s">
        <v>36</v>
      </c>
      <c r="C9" s="81" t="s">
        <v>59</v>
      </c>
      <c r="D9" s="457"/>
      <c r="E9" s="81" t="s">
        <v>178</v>
      </c>
      <c r="F9" s="464"/>
      <c r="G9" s="393"/>
      <c r="H9" s="467"/>
      <c r="I9" s="81" t="s">
        <v>35</v>
      </c>
      <c r="J9" s="449"/>
      <c r="K9" s="81" t="s">
        <v>28</v>
      </c>
      <c r="Q9" s="3"/>
    </row>
    <row r="10" spans="1:17" s="48" customFormat="1" ht="12.75">
      <c r="A10" s="54" t="s">
        <v>0</v>
      </c>
      <c r="B10" s="227">
        <f aca="true" t="shared" si="0" ref="B10:K10">SUM(B12:B39)</f>
        <v>3170191.37</v>
      </c>
      <c r="C10" s="227">
        <f t="shared" si="0"/>
        <v>243388.5</v>
      </c>
      <c r="D10" s="66">
        <f t="shared" si="0"/>
        <v>7431394.93</v>
      </c>
      <c r="E10" s="222">
        <f t="shared" si="0"/>
        <v>1614903.5300000003</v>
      </c>
      <c r="F10" s="222">
        <f t="shared" si="0"/>
        <v>527826.46</v>
      </c>
      <c r="G10" s="222">
        <f t="shared" si="0"/>
        <v>542984.02</v>
      </c>
      <c r="H10" s="222">
        <f t="shared" si="0"/>
        <v>1044364.97</v>
      </c>
      <c r="I10" s="222">
        <f t="shared" si="0"/>
        <v>190694.6</v>
      </c>
      <c r="J10" s="222">
        <f t="shared" si="0"/>
        <v>35363.51</v>
      </c>
      <c r="K10" s="222">
        <f t="shared" si="0"/>
        <v>142783.59</v>
      </c>
      <c r="Q10" s="17"/>
    </row>
    <row r="11" spans="1:17" ht="12.75">
      <c r="A11" s="3"/>
      <c r="B11" s="3"/>
      <c r="C11" s="50"/>
      <c r="D11" s="50"/>
      <c r="E11" s="50"/>
      <c r="F11" s="50"/>
      <c r="G11" s="50"/>
      <c r="H11" s="50"/>
      <c r="I11" s="50"/>
      <c r="J11" s="50"/>
      <c r="K11" s="50"/>
      <c r="Q11" s="3"/>
    </row>
    <row r="12" spans="1:17" ht="12.75">
      <c r="A12" s="3" t="s">
        <v>1</v>
      </c>
      <c r="B12" s="78">
        <v>0</v>
      </c>
      <c r="C12" s="104">
        <v>24839.02</v>
      </c>
      <c r="D12" s="78">
        <v>433707.06</v>
      </c>
      <c r="E12" s="78">
        <v>229638.19</v>
      </c>
      <c r="F12" s="78">
        <v>31214.4</v>
      </c>
      <c r="G12" s="78">
        <v>0</v>
      </c>
      <c r="H12" s="78">
        <v>9000</v>
      </c>
      <c r="I12" s="119">
        <v>0</v>
      </c>
      <c r="J12" s="119">
        <v>0</v>
      </c>
      <c r="K12" s="78">
        <v>3962.69</v>
      </c>
      <c r="Q12" s="16"/>
    </row>
    <row r="13" spans="1:17" ht="12.75">
      <c r="A13" s="3" t="s">
        <v>2</v>
      </c>
      <c r="B13" s="16">
        <v>288228.34</v>
      </c>
      <c r="C13" s="233">
        <v>16283.75</v>
      </c>
      <c r="D13" s="78">
        <v>275957.81</v>
      </c>
      <c r="E13" s="82">
        <v>0</v>
      </c>
      <c r="F13" s="119">
        <v>0</v>
      </c>
      <c r="G13" s="78">
        <v>59770.91</v>
      </c>
      <c r="H13" s="78">
        <v>0</v>
      </c>
      <c r="I13" s="78">
        <v>32035</v>
      </c>
      <c r="J13" s="119">
        <v>0</v>
      </c>
      <c r="K13" s="78">
        <v>15105.04</v>
      </c>
      <c r="Q13" s="16"/>
    </row>
    <row r="14" spans="1:17" ht="12.75">
      <c r="A14" s="3" t="s">
        <v>3</v>
      </c>
      <c r="B14" s="16">
        <v>1920612.54</v>
      </c>
      <c r="C14" s="114">
        <v>0</v>
      </c>
      <c r="D14" s="78">
        <v>0</v>
      </c>
      <c r="E14" s="78">
        <v>24852.52</v>
      </c>
      <c r="F14" s="119">
        <v>0</v>
      </c>
      <c r="G14" s="119">
        <v>0</v>
      </c>
      <c r="H14" s="78">
        <v>219000</v>
      </c>
      <c r="I14" s="78">
        <v>0</v>
      </c>
      <c r="J14" s="119">
        <v>0</v>
      </c>
      <c r="K14" s="78">
        <v>11390.44</v>
      </c>
      <c r="Q14" s="16"/>
    </row>
    <row r="15" spans="1:17" ht="12.75">
      <c r="A15" s="3" t="s">
        <v>4</v>
      </c>
      <c r="B15" s="78">
        <v>0</v>
      </c>
      <c r="C15" s="78">
        <v>139.01</v>
      </c>
      <c r="D15" s="78">
        <v>0</v>
      </c>
      <c r="E15" s="78">
        <v>233867.29</v>
      </c>
      <c r="F15" s="78">
        <v>49939.72</v>
      </c>
      <c r="G15" s="78">
        <v>41152.32</v>
      </c>
      <c r="H15" s="78">
        <v>6310</v>
      </c>
      <c r="I15" s="120">
        <v>0</v>
      </c>
      <c r="J15" s="120">
        <v>8363.51</v>
      </c>
      <c r="K15" s="78">
        <v>17000</v>
      </c>
      <c r="Q15" s="16"/>
    </row>
    <row r="16" spans="1:17" ht="12.75">
      <c r="A16" s="3" t="s">
        <v>5</v>
      </c>
      <c r="B16" s="78">
        <v>0</v>
      </c>
      <c r="C16" s="119">
        <v>0</v>
      </c>
      <c r="D16" s="78">
        <v>103291.12</v>
      </c>
      <c r="E16" s="78">
        <v>0</v>
      </c>
      <c r="F16" s="78">
        <v>0</v>
      </c>
      <c r="G16" s="78">
        <v>0</v>
      </c>
      <c r="H16" s="78">
        <v>10500</v>
      </c>
      <c r="I16" s="78">
        <v>0</v>
      </c>
      <c r="J16" s="119">
        <v>0</v>
      </c>
      <c r="K16" s="78">
        <v>11500</v>
      </c>
      <c r="Q16" s="16"/>
    </row>
    <row r="17" spans="1:17" ht="12.75">
      <c r="A17" s="3"/>
      <c r="B17" s="3"/>
      <c r="C17" s="78"/>
      <c r="D17" s="78"/>
      <c r="E17" s="78"/>
      <c r="F17" s="78"/>
      <c r="G17" s="78"/>
      <c r="H17" s="78"/>
      <c r="I17" s="78"/>
      <c r="J17" s="78"/>
      <c r="K17" s="78"/>
      <c r="Q17" s="16"/>
    </row>
    <row r="18" spans="1:17" ht="12.75">
      <c r="A18" s="3" t="s">
        <v>6</v>
      </c>
      <c r="B18" s="78">
        <v>0</v>
      </c>
      <c r="C18" s="78">
        <v>3864.24</v>
      </c>
      <c r="D18" s="78">
        <v>376080.01</v>
      </c>
      <c r="E18" s="78">
        <v>0</v>
      </c>
      <c r="F18" s="78">
        <v>47977.16</v>
      </c>
      <c r="G18" s="119">
        <v>0</v>
      </c>
      <c r="H18" s="78">
        <v>0</v>
      </c>
      <c r="I18" s="78">
        <v>10200</v>
      </c>
      <c r="J18" s="119">
        <v>0</v>
      </c>
      <c r="K18" s="78">
        <v>0</v>
      </c>
      <c r="Q18" s="16"/>
    </row>
    <row r="19" spans="1:17" ht="12.75">
      <c r="A19" s="3" t="s">
        <v>7</v>
      </c>
      <c r="B19" s="78">
        <v>0</v>
      </c>
      <c r="C19" s="78">
        <v>31590.28</v>
      </c>
      <c r="D19" s="78">
        <v>600663.17</v>
      </c>
      <c r="E19" s="78">
        <v>0</v>
      </c>
      <c r="F19" s="78">
        <v>0</v>
      </c>
      <c r="G19" s="119">
        <v>0</v>
      </c>
      <c r="H19" s="78">
        <v>21500</v>
      </c>
      <c r="I19" s="78">
        <v>87945.75</v>
      </c>
      <c r="J19" s="119">
        <v>0</v>
      </c>
      <c r="K19" s="78">
        <v>3629.83</v>
      </c>
      <c r="Q19" s="16"/>
    </row>
    <row r="20" spans="1:17" ht="12.75">
      <c r="A20" s="3" t="s">
        <v>8</v>
      </c>
      <c r="B20" s="78">
        <v>0</v>
      </c>
      <c r="C20" s="78">
        <v>18850.33</v>
      </c>
      <c r="D20" s="78">
        <v>0</v>
      </c>
      <c r="E20" s="78">
        <v>0</v>
      </c>
      <c r="F20" s="78">
        <v>0</v>
      </c>
      <c r="G20" s="78">
        <v>53432.34</v>
      </c>
      <c r="H20" s="78">
        <v>12000</v>
      </c>
      <c r="I20" s="78">
        <v>0</v>
      </c>
      <c r="J20" s="119">
        <v>0</v>
      </c>
      <c r="K20" s="78">
        <v>6506.23</v>
      </c>
      <c r="Q20" s="16"/>
    </row>
    <row r="21" spans="1:17" ht="12.75">
      <c r="A21" s="3" t="s">
        <v>9</v>
      </c>
      <c r="B21" s="78">
        <v>0</v>
      </c>
      <c r="C21" s="78">
        <v>4738.02</v>
      </c>
      <c r="D21" s="78">
        <v>0</v>
      </c>
      <c r="E21" s="78">
        <v>0</v>
      </c>
      <c r="F21" s="78">
        <v>0</v>
      </c>
      <c r="G21" s="119">
        <v>0</v>
      </c>
      <c r="H21" s="78">
        <v>70750</v>
      </c>
      <c r="I21" s="78">
        <v>0</v>
      </c>
      <c r="J21" s="119">
        <v>0</v>
      </c>
      <c r="K21" s="78">
        <v>8030.32</v>
      </c>
      <c r="Q21" s="16"/>
    </row>
    <row r="22" spans="1:17" ht="12.75">
      <c r="A22" s="3" t="s">
        <v>10</v>
      </c>
      <c r="B22" s="78">
        <v>0</v>
      </c>
      <c r="C22" s="78">
        <v>4400.06</v>
      </c>
      <c r="D22" s="78">
        <v>0</v>
      </c>
      <c r="E22" s="78">
        <v>0</v>
      </c>
      <c r="F22" s="78">
        <v>64187.27</v>
      </c>
      <c r="G22" s="119">
        <v>0</v>
      </c>
      <c r="H22" s="78">
        <v>0</v>
      </c>
      <c r="I22" s="78">
        <v>5588.78</v>
      </c>
      <c r="J22" s="119">
        <v>0</v>
      </c>
      <c r="K22" s="78">
        <v>0</v>
      </c>
      <c r="Q22" s="16"/>
    </row>
    <row r="23" spans="1:17" ht="12.75">
      <c r="A23" s="3"/>
      <c r="B23" s="3"/>
      <c r="C23" s="78"/>
      <c r="D23" s="78"/>
      <c r="E23" s="78"/>
      <c r="F23" s="78"/>
      <c r="G23" s="78"/>
      <c r="H23" s="78"/>
      <c r="I23" s="78"/>
      <c r="J23" s="78"/>
      <c r="K23" s="78"/>
      <c r="Q23" s="16"/>
    </row>
    <row r="24" spans="1:17" ht="12.75">
      <c r="A24" s="3" t="s">
        <v>11</v>
      </c>
      <c r="B24" s="16">
        <v>60752.93</v>
      </c>
      <c r="C24" s="78">
        <v>2726.46</v>
      </c>
      <c r="D24" s="78">
        <v>263614.06</v>
      </c>
      <c r="E24" s="78">
        <v>0</v>
      </c>
      <c r="F24" s="78">
        <v>0</v>
      </c>
      <c r="G24" s="119">
        <v>0</v>
      </c>
      <c r="H24" s="78">
        <v>78500</v>
      </c>
      <c r="I24" s="78">
        <v>0</v>
      </c>
      <c r="J24" s="119">
        <v>0</v>
      </c>
      <c r="K24" s="78">
        <v>14900</v>
      </c>
      <c r="Q24" s="16"/>
    </row>
    <row r="25" spans="1:17" ht="12.75">
      <c r="A25" s="3" t="s">
        <v>12</v>
      </c>
      <c r="B25" s="78">
        <v>0</v>
      </c>
      <c r="C25" s="78">
        <v>7638.1</v>
      </c>
      <c r="D25" s="78">
        <v>0</v>
      </c>
      <c r="E25" s="225">
        <v>243506.64</v>
      </c>
      <c r="F25" s="78">
        <v>63597.29</v>
      </c>
      <c r="G25" s="119">
        <v>0</v>
      </c>
      <c r="H25" s="78">
        <v>0</v>
      </c>
      <c r="I25" s="78">
        <v>9358</v>
      </c>
      <c r="J25" s="119">
        <v>0</v>
      </c>
      <c r="K25" s="78">
        <v>13655.79</v>
      </c>
      <c r="Q25" s="16"/>
    </row>
    <row r="26" spans="1:17" ht="12.75">
      <c r="A26" s="3" t="s">
        <v>13</v>
      </c>
      <c r="B26" s="16">
        <v>245077.85</v>
      </c>
      <c r="C26" s="78">
        <v>23806.24</v>
      </c>
      <c r="D26" s="78">
        <v>439979.57</v>
      </c>
      <c r="E26" s="78">
        <v>0</v>
      </c>
      <c r="F26" s="119">
        <v>0</v>
      </c>
      <c r="G26" s="119">
        <v>0</v>
      </c>
      <c r="H26" s="78">
        <v>0</v>
      </c>
      <c r="I26" s="78">
        <v>15325</v>
      </c>
      <c r="J26" s="119">
        <v>0</v>
      </c>
      <c r="K26" s="78">
        <v>2642.75</v>
      </c>
      <c r="Q26" s="16"/>
    </row>
    <row r="27" spans="1:17" ht="12.75">
      <c r="A27" s="3" t="s">
        <v>14</v>
      </c>
      <c r="B27" s="78">
        <v>0</v>
      </c>
      <c r="C27" s="78">
        <v>4260.66</v>
      </c>
      <c r="D27" s="78">
        <v>712083.39</v>
      </c>
      <c r="E27" s="78">
        <v>0</v>
      </c>
      <c r="F27" s="119">
        <v>0</v>
      </c>
      <c r="G27" s="119">
        <v>0</v>
      </c>
      <c r="H27" s="78">
        <v>169126.17</v>
      </c>
      <c r="I27" s="78">
        <v>0</v>
      </c>
      <c r="J27" s="119">
        <v>0</v>
      </c>
      <c r="K27" s="78">
        <v>0</v>
      </c>
      <c r="Q27" s="16"/>
    </row>
    <row r="28" spans="1:17" ht="12.75">
      <c r="A28" s="3" t="s">
        <v>15</v>
      </c>
      <c r="B28" s="78">
        <v>0</v>
      </c>
      <c r="C28" s="78">
        <v>8487.19</v>
      </c>
      <c r="D28" s="78">
        <v>546261.94</v>
      </c>
      <c r="E28" s="78">
        <v>0</v>
      </c>
      <c r="F28" s="78">
        <v>0</v>
      </c>
      <c r="G28" s="78">
        <v>91795.16</v>
      </c>
      <c r="H28" s="78">
        <v>0</v>
      </c>
      <c r="I28" s="78">
        <v>10000</v>
      </c>
      <c r="J28" s="119">
        <v>0</v>
      </c>
      <c r="K28" s="78">
        <v>0</v>
      </c>
      <c r="Q28" s="16"/>
    </row>
    <row r="29" spans="1:17" ht="12.75">
      <c r="A29" s="3"/>
      <c r="B29" s="78"/>
      <c r="C29" s="78"/>
      <c r="D29" s="119"/>
      <c r="E29" s="78"/>
      <c r="F29" s="78"/>
      <c r="G29" s="78"/>
      <c r="H29" s="78"/>
      <c r="I29" s="78"/>
      <c r="J29" s="78"/>
      <c r="K29" s="78"/>
      <c r="Q29" s="16"/>
    </row>
    <row r="30" spans="1:17" ht="12.75">
      <c r="A30" s="3" t="s">
        <v>16</v>
      </c>
      <c r="B30" s="78">
        <v>0</v>
      </c>
      <c r="C30" s="78">
        <v>27369.45</v>
      </c>
      <c r="D30" s="78">
        <v>545891.3</v>
      </c>
      <c r="E30" s="78">
        <v>0</v>
      </c>
      <c r="F30" s="78">
        <v>43512.09</v>
      </c>
      <c r="G30" s="78">
        <v>48392.86</v>
      </c>
      <c r="H30" s="78">
        <v>0</v>
      </c>
      <c r="I30" s="119">
        <v>0</v>
      </c>
      <c r="J30" s="119">
        <v>0</v>
      </c>
      <c r="K30" s="78">
        <v>0</v>
      </c>
      <c r="Q30" s="16"/>
    </row>
    <row r="31" spans="1:17" ht="12.75">
      <c r="A31" s="3" t="s">
        <v>17</v>
      </c>
      <c r="B31" s="16">
        <v>655519.71</v>
      </c>
      <c r="C31" s="78">
        <v>0</v>
      </c>
      <c r="D31" s="119">
        <v>0</v>
      </c>
      <c r="E31" s="78">
        <v>433664.86</v>
      </c>
      <c r="F31" s="78">
        <v>46628.78</v>
      </c>
      <c r="G31" s="119">
        <v>0</v>
      </c>
      <c r="H31" s="78">
        <v>418873.8</v>
      </c>
      <c r="I31" s="119">
        <v>0</v>
      </c>
      <c r="J31" s="119">
        <v>0</v>
      </c>
      <c r="K31" s="78">
        <v>9384.25</v>
      </c>
      <c r="Q31" s="16"/>
    </row>
    <row r="32" spans="1:17" ht="12.75">
      <c r="A32" s="3" t="s">
        <v>18</v>
      </c>
      <c r="B32" s="78">
        <v>0</v>
      </c>
      <c r="C32" s="78">
        <v>9741.12</v>
      </c>
      <c r="D32" s="78">
        <v>402167.42</v>
      </c>
      <c r="E32" s="78">
        <v>0</v>
      </c>
      <c r="F32" s="78">
        <v>0</v>
      </c>
      <c r="G32" s="119">
        <v>0</v>
      </c>
      <c r="H32" s="78">
        <v>0</v>
      </c>
      <c r="I32" s="78">
        <v>6229.85</v>
      </c>
      <c r="J32" s="119">
        <v>0</v>
      </c>
      <c r="K32" s="78">
        <v>0</v>
      </c>
      <c r="Q32" s="16"/>
    </row>
    <row r="33" spans="1:17" ht="12.75">
      <c r="A33" s="3" t="s">
        <v>19</v>
      </c>
      <c r="B33" s="78">
        <v>0</v>
      </c>
      <c r="C33" s="78">
        <v>16293.99</v>
      </c>
      <c r="D33" s="78">
        <v>352435.14</v>
      </c>
      <c r="E33" s="78">
        <v>0</v>
      </c>
      <c r="F33" s="78">
        <v>0</v>
      </c>
      <c r="G33" s="78">
        <v>34237.9</v>
      </c>
      <c r="H33" s="78">
        <v>21305</v>
      </c>
      <c r="I33" s="78">
        <v>0</v>
      </c>
      <c r="J33" s="78">
        <v>10000</v>
      </c>
      <c r="K33" s="78">
        <v>8323.98</v>
      </c>
      <c r="Q33" s="16"/>
    </row>
    <row r="34" spans="1:17" ht="12.75">
      <c r="A34" s="3" t="s">
        <v>20</v>
      </c>
      <c r="B34" s="78">
        <v>0</v>
      </c>
      <c r="C34" s="78">
        <v>8981.35</v>
      </c>
      <c r="D34" s="78">
        <v>306678.44</v>
      </c>
      <c r="E34" s="78">
        <v>262342.64</v>
      </c>
      <c r="F34" s="78">
        <v>4137.14</v>
      </c>
      <c r="G34" s="78">
        <v>46540.56</v>
      </c>
      <c r="H34" s="78">
        <v>0</v>
      </c>
      <c r="I34" s="78">
        <v>0</v>
      </c>
      <c r="J34" s="78">
        <v>0</v>
      </c>
      <c r="K34" s="78">
        <v>0</v>
      </c>
      <c r="Q34" s="16"/>
    </row>
    <row r="35" spans="1:17" ht="12.75">
      <c r="A35" s="3"/>
      <c r="B35" s="78"/>
      <c r="C35" s="78"/>
      <c r="D35" s="78"/>
      <c r="E35" s="78"/>
      <c r="F35" s="78"/>
      <c r="G35" s="78"/>
      <c r="H35" s="78"/>
      <c r="I35" s="78"/>
      <c r="J35" s="78"/>
      <c r="Q35" s="16"/>
    </row>
    <row r="36" spans="1:17" ht="12.75">
      <c r="A36" s="3" t="s">
        <v>21</v>
      </c>
      <c r="B36" s="78">
        <v>0</v>
      </c>
      <c r="C36" s="78">
        <v>6811.84</v>
      </c>
      <c r="D36" s="78">
        <v>0</v>
      </c>
      <c r="E36" s="78">
        <v>0</v>
      </c>
      <c r="F36" s="78">
        <v>0</v>
      </c>
      <c r="G36" s="119">
        <v>0</v>
      </c>
      <c r="H36" s="78">
        <v>7500</v>
      </c>
      <c r="I36" s="78">
        <v>14012.22</v>
      </c>
      <c r="J36" s="78">
        <v>17000</v>
      </c>
      <c r="K36" s="119">
        <v>0</v>
      </c>
      <c r="Q36" s="16"/>
    </row>
    <row r="37" spans="1:17" ht="12.75">
      <c r="A37" s="3" t="s">
        <v>22</v>
      </c>
      <c r="B37" s="78">
        <v>0</v>
      </c>
      <c r="C37" s="78">
        <v>7646.72</v>
      </c>
      <c r="D37" s="78">
        <v>300215.19</v>
      </c>
      <c r="E37" s="78">
        <v>3567.57</v>
      </c>
      <c r="F37" s="78">
        <v>81663</v>
      </c>
      <c r="G37" s="78">
        <v>50897.16</v>
      </c>
      <c r="H37" s="78">
        <v>0</v>
      </c>
      <c r="I37" s="78">
        <v>0</v>
      </c>
      <c r="J37" s="78">
        <v>0</v>
      </c>
      <c r="K37" s="119">
        <v>0</v>
      </c>
      <c r="Q37" s="16"/>
    </row>
    <row r="38" spans="1:17" ht="12.75">
      <c r="A38" s="3" t="s">
        <v>23</v>
      </c>
      <c r="B38" s="78">
        <v>0</v>
      </c>
      <c r="C38" s="78">
        <v>4205.03</v>
      </c>
      <c r="D38" s="78">
        <v>781150.14</v>
      </c>
      <c r="E38" s="78">
        <v>183463.82</v>
      </c>
      <c r="F38" s="78">
        <v>0</v>
      </c>
      <c r="G38" s="78">
        <v>42807.88</v>
      </c>
      <c r="H38" s="78">
        <v>0</v>
      </c>
      <c r="I38" s="78">
        <v>0</v>
      </c>
      <c r="J38" s="78">
        <v>0</v>
      </c>
      <c r="K38" s="78">
        <v>16752.27</v>
      </c>
      <c r="Q38" s="16"/>
    </row>
    <row r="39" spans="1:17" ht="12.75">
      <c r="A39" s="13" t="s">
        <v>24</v>
      </c>
      <c r="B39" s="105">
        <v>0</v>
      </c>
      <c r="C39" s="105">
        <v>10715.64</v>
      </c>
      <c r="D39" s="105">
        <v>991219.17</v>
      </c>
      <c r="E39" s="105">
        <v>0</v>
      </c>
      <c r="F39" s="105">
        <v>94969.61</v>
      </c>
      <c r="G39" s="105">
        <v>73956.93</v>
      </c>
      <c r="H39" s="105">
        <v>0</v>
      </c>
      <c r="I39" s="105">
        <v>0</v>
      </c>
      <c r="J39" s="105">
        <v>0</v>
      </c>
      <c r="K39" s="105">
        <v>0</v>
      </c>
      <c r="Q39" s="16"/>
    </row>
    <row r="40" spans="1:17" ht="12.75">
      <c r="A40" s="3"/>
      <c r="B40" s="3"/>
      <c r="C40" s="16"/>
      <c r="E40" s="16"/>
      <c r="F40" s="16"/>
      <c r="G40" s="16"/>
      <c r="H40" s="16"/>
      <c r="I40" s="16"/>
      <c r="J40" s="16"/>
      <c r="K40" s="16"/>
      <c r="Q40" s="16"/>
    </row>
    <row r="41" spans="1:17" ht="12.75">
      <c r="A41" s="3"/>
      <c r="B41" s="3"/>
      <c r="C41" s="3"/>
      <c r="E41" s="16"/>
      <c r="F41" s="16"/>
      <c r="G41" s="16"/>
      <c r="H41" s="16"/>
      <c r="I41" s="16"/>
      <c r="J41" s="16"/>
      <c r="K41" s="16"/>
      <c r="Q41" s="16"/>
    </row>
    <row r="42" spans="1:17" ht="12.75">
      <c r="A42" s="3"/>
      <c r="B42" s="3"/>
      <c r="C42" s="3"/>
      <c r="E42" s="16"/>
      <c r="F42" s="16"/>
      <c r="G42" s="16"/>
      <c r="H42" s="16"/>
      <c r="I42" s="16"/>
      <c r="J42" s="16"/>
      <c r="K42" s="16"/>
      <c r="Q42" s="16"/>
    </row>
    <row r="43" spans="1:17" ht="12.75">
      <c r="A43" s="3"/>
      <c r="B43" s="3"/>
      <c r="C43" s="3"/>
      <c r="E43" s="16"/>
      <c r="F43" s="16"/>
      <c r="G43" s="16"/>
      <c r="H43" s="16"/>
      <c r="I43" s="16"/>
      <c r="J43" s="16"/>
      <c r="K43" s="16"/>
      <c r="Q43" s="16"/>
    </row>
    <row r="44" spans="1:17" ht="12.75">
      <c r="A44" s="3"/>
      <c r="B44" s="3"/>
      <c r="C44" s="3"/>
      <c r="E44" s="16"/>
      <c r="F44" s="16"/>
      <c r="G44" s="16"/>
      <c r="H44" s="16"/>
      <c r="I44" s="16"/>
      <c r="J44" s="16"/>
      <c r="K44" s="16"/>
      <c r="Q44" s="16"/>
    </row>
    <row r="45" spans="1:17" ht="12.75">
      <c r="A45" s="3"/>
      <c r="B45" s="3"/>
      <c r="C45" s="3"/>
      <c r="E45" s="16"/>
      <c r="F45" s="16"/>
      <c r="G45" s="16"/>
      <c r="H45" s="16"/>
      <c r="I45" s="16"/>
      <c r="J45" s="16"/>
      <c r="K45" s="16"/>
      <c r="Q45" s="16"/>
    </row>
    <row r="46" spans="1:17" ht="12.75">
      <c r="A46" s="3"/>
      <c r="B46" s="3"/>
      <c r="C46" s="3"/>
      <c r="E46" s="16"/>
      <c r="F46" s="16"/>
      <c r="G46" s="16"/>
      <c r="H46" s="16"/>
      <c r="I46" s="16"/>
      <c r="J46" s="16"/>
      <c r="K46" s="16"/>
      <c r="Q46" s="16"/>
    </row>
    <row r="47" spans="1:17" ht="12.75">
      <c r="A47" s="3"/>
      <c r="B47" s="3"/>
      <c r="C47" s="3"/>
      <c r="E47" s="16"/>
      <c r="F47" s="16"/>
      <c r="G47" s="16"/>
      <c r="H47" s="16"/>
      <c r="I47" s="16"/>
      <c r="J47" s="16"/>
      <c r="K47" s="16"/>
      <c r="Q47" s="16"/>
    </row>
    <row r="48" spans="1:17" ht="12.75">
      <c r="A48" s="3"/>
      <c r="B48" s="3"/>
      <c r="C48" s="3"/>
      <c r="E48" s="16"/>
      <c r="F48" s="16"/>
      <c r="G48" s="16"/>
      <c r="H48" s="16"/>
      <c r="I48" s="16"/>
      <c r="J48" s="16"/>
      <c r="K48" s="16"/>
      <c r="Q48" s="16"/>
    </row>
    <row r="49" spans="1:17" ht="12.75">
      <c r="A49" s="3"/>
      <c r="B49" s="3"/>
      <c r="C49" s="3"/>
      <c r="E49" s="16"/>
      <c r="F49" s="16"/>
      <c r="G49" s="16"/>
      <c r="H49" s="16"/>
      <c r="I49" s="16"/>
      <c r="J49" s="16"/>
      <c r="K49" s="16"/>
      <c r="Q49" s="16"/>
    </row>
    <row r="50" spans="1:17" ht="12.75">
      <c r="A50" s="3"/>
      <c r="B50" s="3"/>
      <c r="C50" s="3"/>
      <c r="D50" s="3"/>
      <c r="E50" s="16"/>
      <c r="F50" s="16"/>
      <c r="G50" s="16"/>
      <c r="H50" s="16"/>
      <c r="I50" s="16"/>
      <c r="J50" s="16"/>
      <c r="K50" s="16"/>
      <c r="Q50" s="16"/>
    </row>
    <row r="51" spans="1:17" ht="12.75">
      <c r="A51" s="3"/>
      <c r="B51" s="3"/>
      <c r="C51" s="3"/>
      <c r="D51" s="3"/>
      <c r="E51" s="16"/>
      <c r="F51" s="16"/>
      <c r="G51" s="16"/>
      <c r="H51" s="16"/>
      <c r="I51" s="16"/>
      <c r="J51" s="16"/>
      <c r="K51" s="16"/>
      <c r="Q51" s="16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/>
      <c r="B55" s="3"/>
      <c r="C55" s="3"/>
      <c r="D55" s="3"/>
    </row>
    <row r="56" spans="1:4" ht="12.75">
      <c r="A56" s="3"/>
      <c r="B56" s="3"/>
      <c r="C56" s="3"/>
      <c r="D56" s="3"/>
    </row>
    <row r="57" spans="1:4" ht="12.75">
      <c r="A57" s="3"/>
      <c r="B57" s="3"/>
      <c r="C57" s="3"/>
      <c r="D57" s="3"/>
    </row>
    <row r="58" spans="1:4" ht="12.75">
      <c r="A58" s="3"/>
      <c r="B58" s="3"/>
      <c r="C58" s="3"/>
      <c r="D58" s="3"/>
    </row>
    <row r="59" spans="1:4" ht="12.75">
      <c r="A59" s="3"/>
      <c r="B59" s="3"/>
      <c r="C59" s="3"/>
      <c r="D59" s="3"/>
    </row>
    <row r="60" spans="1:4" ht="12.75">
      <c r="A60" s="3"/>
      <c r="B60" s="3"/>
      <c r="C60" s="3"/>
      <c r="D60" s="3"/>
    </row>
    <row r="61" spans="1:4" ht="12.75">
      <c r="A61" s="3"/>
      <c r="B61" s="3"/>
      <c r="C61" s="3"/>
      <c r="D61" s="3"/>
    </row>
    <row r="62" spans="1:4" ht="12.75">
      <c r="A62" s="3"/>
      <c r="B62" s="3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</sheetData>
  <sheetProtection password="CAF5" sheet="1" objects="1" scenarios="1"/>
  <mergeCells count="8">
    <mergeCell ref="A1:K1"/>
    <mergeCell ref="A3:K3"/>
    <mergeCell ref="D6:D9"/>
    <mergeCell ref="F5:F9"/>
    <mergeCell ref="H6:H9"/>
    <mergeCell ref="G5:G9"/>
    <mergeCell ref="J6:K7"/>
    <mergeCell ref="J8:J9"/>
  </mergeCells>
  <printOptions horizontalCentered="1"/>
  <pageMargins left="0.56" right="0.49" top="0.83" bottom="1.07" header="0.67" footer="0.5"/>
  <pageSetup fitToHeight="1" fitToWidth="1" horizontalDpi="600" verticalDpi="600" orientation="landscape" scale="89" r:id="rId1"/>
  <headerFooter alignWithMargins="0">
    <oddHeader>&amp;R
</oddHeader>
    <oddFooter>&amp;L&amp;"Arial,Italic"&amp;9MSDE-DBS  10 / 2008&amp;C- 15 -&amp;R&amp;"Arial,Italic"&amp;9Selected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3">
      <selection activeCell="I3" sqref="I3"/>
    </sheetView>
  </sheetViews>
  <sheetFormatPr defaultColWidth="9.140625" defaultRowHeight="12.75"/>
  <cols>
    <col min="1" max="1" width="17.28125" style="0" customWidth="1"/>
    <col min="2" max="2" width="12.8515625" style="0" customWidth="1"/>
    <col min="3" max="3" width="14.00390625" style="0" customWidth="1"/>
    <col min="4" max="4" width="14.8515625" style="0" customWidth="1"/>
    <col min="5" max="5" width="12.28125" style="0" customWidth="1"/>
    <col min="6" max="6" width="12.8515625" style="0" customWidth="1"/>
    <col min="7" max="7" width="13.7109375" style="0" customWidth="1"/>
    <col min="8" max="8" width="14.57421875" style="0" customWidth="1"/>
  </cols>
  <sheetData>
    <row r="1" spans="1:8" ht="12.75">
      <c r="A1" s="448" t="s">
        <v>130</v>
      </c>
      <c r="B1" s="448"/>
      <c r="C1" s="448"/>
      <c r="D1" s="448"/>
      <c r="E1" s="448"/>
      <c r="F1" s="448"/>
      <c r="G1" s="448"/>
      <c r="H1" s="448"/>
    </row>
    <row r="2" ht="12.75">
      <c r="A2" s="3"/>
    </row>
    <row r="3" spans="1:8" ht="12.75">
      <c r="A3" s="448" t="s">
        <v>229</v>
      </c>
      <c r="B3" s="448"/>
      <c r="C3" s="448"/>
      <c r="D3" s="448"/>
      <c r="E3" s="448"/>
      <c r="F3" s="448"/>
      <c r="G3" s="448"/>
      <c r="H3" s="448"/>
    </row>
    <row r="4" spans="1:8" ht="13.5" thickBot="1">
      <c r="A4" s="12"/>
      <c r="B4" s="12"/>
      <c r="C4" s="12"/>
      <c r="D4" s="12"/>
      <c r="E4" s="12"/>
      <c r="F4" s="12"/>
      <c r="G4" s="12"/>
      <c r="H4" s="12"/>
    </row>
    <row r="5" spans="1:8" ht="15" customHeight="1" thickTop="1">
      <c r="A5" s="3"/>
      <c r="B5" s="471" t="s">
        <v>242</v>
      </c>
      <c r="C5" s="471" t="s">
        <v>238</v>
      </c>
      <c r="D5" s="473" t="s">
        <v>240</v>
      </c>
      <c r="E5" s="473" t="s">
        <v>241</v>
      </c>
      <c r="F5" s="472" t="s">
        <v>239</v>
      </c>
      <c r="G5" s="4"/>
      <c r="H5" s="74" t="s">
        <v>40</v>
      </c>
    </row>
    <row r="6" spans="1:8" ht="12.75">
      <c r="A6" s="3" t="s">
        <v>85</v>
      </c>
      <c r="B6" s="401"/>
      <c r="C6" s="401"/>
      <c r="D6" s="401"/>
      <c r="E6" s="401"/>
      <c r="F6" s="401"/>
      <c r="G6" s="20"/>
      <c r="H6" s="4" t="s">
        <v>56</v>
      </c>
    </row>
    <row r="7" spans="1:8" ht="12.75">
      <c r="A7" s="3" t="s">
        <v>35</v>
      </c>
      <c r="B7" s="401"/>
      <c r="C7" s="401"/>
      <c r="D7" s="401"/>
      <c r="E7" s="401"/>
      <c r="F7" s="401"/>
      <c r="G7" s="4" t="s">
        <v>232</v>
      </c>
      <c r="H7" s="4" t="s">
        <v>55</v>
      </c>
    </row>
    <row r="8" spans="1:8" ht="13.5" thickBot="1">
      <c r="A8" s="7" t="s">
        <v>144</v>
      </c>
      <c r="B8" s="393"/>
      <c r="C8" s="393"/>
      <c r="D8" s="393"/>
      <c r="E8" s="393"/>
      <c r="F8" s="393"/>
      <c r="G8" s="81" t="s">
        <v>233</v>
      </c>
      <c r="H8" s="133" t="s">
        <v>68</v>
      </c>
    </row>
    <row r="9" spans="1:8" s="48" customFormat="1" ht="12.75">
      <c r="A9" s="54" t="s">
        <v>0</v>
      </c>
      <c r="B9" s="222">
        <f aca="true" t="shared" si="0" ref="B9:H9">SUM(B11:B38)</f>
        <v>4471653.08</v>
      </c>
      <c r="C9" s="234">
        <f t="shared" si="0"/>
        <v>39174.16</v>
      </c>
      <c r="D9" s="107">
        <f t="shared" si="0"/>
        <v>40433721.669999994</v>
      </c>
      <c r="E9" s="222">
        <f t="shared" si="0"/>
        <v>707945.69</v>
      </c>
      <c r="F9" s="66">
        <f t="shared" si="0"/>
        <v>3297284.25</v>
      </c>
      <c r="G9" s="66">
        <f t="shared" si="0"/>
        <v>91767.04</v>
      </c>
      <c r="H9" s="66">
        <f t="shared" si="0"/>
        <v>38815337.56</v>
      </c>
    </row>
    <row r="10" spans="1:8" ht="12.75">
      <c r="A10" s="3"/>
      <c r="B10" s="50"/>
      <c r="C10" s="50"/>
      <c r="D10" s="50"/>
      <c r="E10" s="50"/>
      <c r="F10" s="50"/>
      <c r="G10" s="50"/>
      <c r="H10" s="50"/>
    </row>
    <row r="11" spans="1:8" ht="12.75">
      <c r="A11" s="3" t="s">
        <v>1</v>
      </c>
      <c r="B11" s="78">
        <v>105362.9</v>
      </c>
      <c r="C11" s="78">
        <v>1035</v>
      </c>
      <c r="D11" s="78">
        <v>548679.31</v>
      </c>
      <c r="E11" s="78">
        <v>0</v>
      </c>
      <c r="F11" s="119">
        <v>0</v>
      </c>
      <c r="G11" s="78">
        <v>0</v>
      </c>
      <c r="H11" s="78">
        <v>327307.88</v>
      </c>
    </row>
    <row r="12" spans="1:8" ht="12.75">
      <c r="A12" s="3" t="s">
        <v>2</v>
      </c>
      <c r="B12" s="78">
        <v>277622.27</v>
      </c>
      <c r="C12" s="78">
        <v>0</v>
      </c>
      <c r="D12" s="78">
        <v>2408354.31</v>
      </c>
      <c r="E12" s="78">
        <v>65209.02</v>
      </c>
      <c r="F12" s="78">
        <v>0</v>
      </c>
      <c r="G12" s="119">
        <v>0</v>
      </c>
      <c r="H12" s="78">
        <v>3182239.88</v>
      </c>
    </row>
    <row r="13" spans="1:8" ht="12.75">
      <c r="A13" s="3" t="s">
        <v>3</v>
      </c>
      <c r="B13" s="72">
        <v>1113549.16</v>
      </c>
      <c r="C13" s="119">
        <v>0</v>
      </c>
      <c r="D13" s="78">
        <f>12093000.12+231137.15</f>
        <v>12324137.27</v>
      </c>
      <c r="E13" s="78">
        <v>124581.14</v>
      </c>
      <c r="F13" s="78">
        <v>0</v>
      </c>
      <c r="G13" s="78">
        <v>0</v>
      </c>
      <c r="H13" s="78">
        <v>5480108.57</v>
      </c>
    </row>
    <row r="14" spans="1:8" ht="12.75">
      <c r="A14" s="3" t="s">
        <v>4</v>
      </c>
      <c r="B14" s="78">
        <v>516209.17</v>
      </c>
      <c r="C14" s="78">
        <v>45</v>
      </c>
      <c r="D14" s="78">
        <v>9184245.520000001</v>
      </c>
      <c r="E14" s="78">
        <v>107645.72</v>
      </c>
      <c r="F14" s="78">
        <v>475229.14</v>
      </c>
      <c r="G14" s="78">
        <v>0</v>
      </c>
      <c r="H14" s="78">
        <v>4570342.59</v>
      </c>
    </row>
    <row r="15" spans="1:8" ht="12.75">
      <c r="A15" s="3" t="s">
        <v>5</v>
      </c>
      <c r="B15" s="72">
        <v>45316.87</v>
      </c>
      <c r="C15" s="78">
        <v>1035</v>
      </c>
      <c r="D15" s="104">
        <v>410328.29</v>
      </c>
      <c r="E15" s="78">
        <v>20620.22</v>
      </c>
      <c r="F15" s="78">
        <v>0</v>
      </c>
      <c r="G15" s="78">
        <v>0</v>
      </c>
      <c r="H15" s="78">
        <v>208656.5</v>
      </c>
    </row>
    <row r="16" spans="1:8" ht="12.75">
      <c r="A16" s="3"/>
      <c r="B16" s="78"/>
      <c r="C16" s="78"/>
      <c r="D16" s="78"/>
      <c r="E16" s="78"/>
      <c r="F16" s="78"/>
      <c r="G16" s="78"/>
      <c r="H16" s="78"/>
    </row>
    <row r="17" spans="1:8" ht="12.75">
      <c r="A17" s="3" t="s">
        <v>6</v>
      </c>
      <c r="B17" s="78">
        <v>33543.87</v>
      </c>
      <c r="C17" s="78">
        <v>0</v>
      </c>
      <c r="D17" s="78">
        <v>561326.02</v>
      </c>
      <c r="E17" s="78">
        <v>0</v>
      </c>
      <c r="F17" s="78">
        <v>0</v>
      </c>
      <c r="G17" s="78">
        <v>0</v>
      </c>
      <c r="H17" s="78">
        <v>0</v>
      </c>
    </row>
    <row r="18" spans="1:8" ht="12.75">
      <c r="A18" s="3" t="s">
        <v>7</v>
      </c>
      <c r="B18" s="78">
        <v>77105.49</v>
      </c>
      <c r="C18" s="78">
        <v>315</v>
      </c>
      <c r="D18" s="78">
        <v>1068841.18</v>
      </c>
      <c r="E18" s="78">
        <v>0</v>
      </c>
      <c r="F18" s="119">
        <v>0</v>
      </c>
      <c r="G18" s="78">
        <v>0</v>
      </c>
      <c r="H18" s="78">
        <v>55585.79</v>
      </c>
    </row>
    <row r="19" spans="1:8" ht="12.75">
      <c r="A19" s="3" t="s">
        <v>8</v>
      </c>
      <c r="B19" s="78">
        <v>49745.82</v>
      </c>
      <c r="C19" s="119">
        <v>0</v>
      </c>
      <c r="D19" s="78">
        <v>1011092.05</v>
      </c>
      <c r="E19" s="78">
        <v>0</v>
      </c>
      <c r="F19" s="78">
        <v>0</v>
      </c>
      <c r="G19" s="119">
        <v>0</v>
      </c>
      <c r="H19" s="78">
        <v>178128.72</v>
      </c>
    </row>
    <row r="20" spans="1:8" ht="12.75">
      <c r="A20" s="3" t="s">
        <v>9</v>
      </c>
      <c r="B20" s="78">
        <v>38834.32</v>
      </c>
      <c r="C20" s="78">
        <v>1035</v>
      </c>
      <c r="D20" s="78">
        <v>197005.93</v>
      </c>
      <c r="E20" s="78">
        <v>21803.73</v>
      </c>
      <c r="F20" s="119">
        <v>0</v>
      </c>
      <c r="G20" s="78">
        <v>0</v>
      </c>
      <c r="H20" s="78">
        <v>174746.39</v>
      </c>
    </row>
    <row r="21" spans="1:8" ht="12.75">
      <c r="A21" s="3" t="s">
        <v>10</v>
      </c>
      <c r="B21" s="78">
        <v>31885.34</v>
      </c>
      <c r="C21" s="78">
        <v>1125</v>
      </c>
      <c r="D21" s="78">
        <v>838075.91</v>
      </c>
      <c r="E21" s="78">
        <v>0</v>
      </c>
      <c r="F21" s="78">
        <v>0</v>
      </c>
      <c r="G21" s="78">
        <v>0</v>
      </c>
      <c r="H21" s="78">
        <v>0</v>
      </c>
    </row>
    <row r="22" spans="1:8" ht="12.75">
      <c r="A22" s="3"/>
      <c r="B22" s="78"/>
      <c r="C22" s="78"/>
      <c r="D22" s="78"/>
      <c r="E22" s="78"/>
      <c r="F22" s="78"/>
      <c r="G22" s="78"/>
      <c r="H22" s="78"/>
    </row>
    <row r="23" spans="1:8" ht="12.75">
      <c r="A23" s="3" t="s">
        <v>11</v>
      </c>
      <c r="B23" s="78">
        <v>91668</v>
      </c>
      <c r="C23" s="78">
        <v>31005.5</v>
      </c>
      <c r="D23" s="78">
        <v>358099.23</v>
      </c>
      <c r="E23" s="78">
        <v>36095.28</v>
      </c>
      <c r="F23" s="119">
        <v>0</v>
      </c>
      <c r="G23" s="119">
        <v>0</v>
      </c>
      <c r="H23" s="78">
        <v>970436.56</v>
      </c>
    </row>
    <row r="24" spans="1:8" ht="12.75">
      <c r="A24" s="3" t="s">
        <v>12</v>
      </c>
      <c r="B24" s="78">
        <v>32431.99</v>
      </c>
      <c r="C24" s="78">
        <v>0</v>
      </c>
      <c r="D24" s="78">
        <v>552139.26</v>
      </c>
      <c r="E24" s="119">
        <v>0</v>
      </c>
      <c r="F24" s="78">
        <v>0</v>
      </c>
      <c r="G24" s="119">
        <v>0</v>
      </c>
      <c r="H24" s="78">
        <v>164059.72</v>
      </c>
    </row>
    <row r="25" spans="1:8" ht="12.75">
      <c r="A25" s="3" t="s">
        <v>13</v>
      </c>
      <c r="B25" s="78">
        <v>146796.96</v>
      </c>
      <c r="C25" s="78">
        <v>0</v>
      </c>
      <c r="D25" s="78">
        <v>215813.85</v>
      </c>
      <c r="E25" s="78">
        <v>14711.67</v>
      </c>
      <c r="F25" s="78">
        <v>0</v>
      </c>
      <c r="G25" s="78">
        <v>0</v>
      </c>
      <c r="H25" s="78">
        <v>2088020.23</v>
      </c>
    </row>
    <row r="26" spans="1:8" ht="12.75">
      <c r="A26" s="3" t="s">
        <v>14</v>
      </c>
      <c r="B26" s="78">
        <v>87568.85</v>
      </c>
      <c r="C26" s="78">
        <v>0</v>
      </c>
      <c r="D26" s="78">
        <v>46307.52</v>
      </c>
      <c r="E26" s="78">
        <v>71564.81</v>
      </c>
      <c r="F26" s="78">
        <v>0</v>
      </c>
      <c r="G26" s="78">
        <v>0</v>
      </c>
      <c r="H26" s="78">
        <v>328738</v>
      </c>
    </row>
    <row r="27" spans="1:8" ht="12.75">
      <c r="A27" s="3" t="s">
        <v>15</v>
      </c>
      <c r="B27" s="104">
        <v>3752.97</v>
      </c>
      <c r="C27" s="78">
        <v>90</v>
      </c>
      <c r="D27" s="78">
        <v>54585.05</v>
      </c>
      <c r="E27" s="78">
        <v>0</v>
      </c>
      <c r="F27" s="78">
        <v>0</v>
      </c>
      <c r="G27" s="78">
        <v>0</v>
      </c>
      <c r="H27" s="78">
        <v>169302.86</v>
      </c>
    </row>
    <row r="28" spans="1:8" ht="12.75">
      <c r="A28" s="3"/>
      <c r="B28" s="78"/>
      <c r="C28" s="119"/>
      <c r="D28" s="78"/>
      <c r="E28" s="78"/>
      <c r="F28" s="78"/>
      <c r="G28" s="78"/>
      <c r="H28" s="78"/>
    </row>
    <row r="29" spans="1:8" ht="12.75">
      <c r="A29" s="3" t="s">
        <v>16</v>
      </c>
      <c r="B29" s="78">
        <v>771971.41</v>
      </c>
      <c r="C29" s="119">
        <v>0</v>
      </c>
      <c r="D29" s="78">
        <v>4159600</v>
      </c>
      <c r="E29" s="104">
        <v>134496.59</v>
      </c>
      <c r="F29" s="78">
        <v>0</v>
      </c>
      <c r="G29" s="119">
        <v>0</v>
      </c>
      <c r="H29" s="78">
        <v>9883948.14</v>
      </c>
    </row>
    <row r="30" spans="1:8" ht="12.75">
      <c r="A30" s="3" t="s">
        <v>17</v>
      </c>
      <c r="B30" s="78">
        <v>632151.67</v>
      </c>
      <c r="C30" s="119">
        <v>0</v>
      </c>
      <c r="D30" s="78">
        <v>3058989.11</v>
      </c>
      <c r="E30" s="104">
        <v>86130.02</v>
      </c>
      <c r="F30" s="78">
        <v>2630658.57</v>
      </c>
      <c r="G30" s="78">
        <v>91767.04</v>
      </c>
      <c r="H30" s="78">
        <v>7742068.340000001</v>
      </c>
    </row>
    <row r="31" spans="1:8" ht="12.75">
      <c r="A31" s="3" t="s">
        <v>18</v>
      </c>
      <c r="B31" s="78">
        <v>25076.54</v>
      </c>
      <c r="C31" s="78">
        <v>923.66</v>
      </c>
      <c r="D31" s="78">
        <v>371506.05</v>
      </c>
      <c r="E31" s="78">
        <v>0</v>
      </c>
      <c r="F31" s="78">
        <v>0</v>
      </c>
      <c r="G31" s="119">
        <v>0</v>
      </c>
      <c r="H31" s="78">
        <v>583886.51</v>
      </c>
    </row>
    <row r="32" spans="1:8" ht="12.75">
      <c r="A32" s="3" t="s">
        <v>19</v>
      </c>
      <c r="B32" s="78">
        <v>63419.82</v>
      </c>
      <c r="C32" s="78">
        <v>1035</v>
      </c>
      <c r="D32" s="78">
        <v>389210.58</v>
      </c>
      <c r="E32" s="78">
        <v>24200</v>
      </c>
      <c r="F32" s="78">
        <v>0</v>
      </c>
      <c r="G32" s="78">
        <v>0</v>
      </c>
      <c r="H32" s="78">
        <v>775916.27</v>
      </c>
    </row>
    <row r="33" spans="1:8" ht="12.75">
      <c r="A33" s="3" t="s">
        <v>20</v>
      </c>
      <c r="B33" s="78">
        <v>26121.8</v>
      </c>
      <c r="C33" s="78">
        <v>315</v>
      </c>
      <c r="D33" s="78">
        <v>206087.3</v>
      </c>
      <c r="E33" s="78">
        <v>0</v>
      </c>
      <c r="F33" s="78">
        <v>0</v>
      </c>
      <c r="G33" s="78">
        <v>0</v>
      </c>
      <c r="H33" s="78">
        <v>869482.76</v>
      </c>
    </row>
    <row r="34" spans="1:8" ht="12.75">
      <c r="A34" s="3"/>
      <c r="B34" s="119"/>
      <c r="C34" s="78"/>
      <c r="D34" s="78"/>
      <c r="E34" s="78"/>
      <c r="F34" s="78"/>
      <c r="G34" s="78"/>
      <c r="H34" s="78"/>
    </row>
    <row r="35" spans="1:8" ht="12.75">
      <c r="A35" s="3" t="s">
        <v>21</v>
      </c>
      <c r="B35" s="78">
        <v>3164.32</v>
      </c>
      <c r="C35" s="78">
        <v>0</v>
      </c>
      <c r="D35" s="78">
        <v>161302.19</v>
      </c>
      <c r="E35" s="78">
        <v>0</v>
      </c>
      <c r="F35" s="230">
        <v>0</v>
      </c>
      <c r="G35" s="78">
        <v>0</v>
      </c>
      <c r="H35" s="119">
        <v>0</v>
      </c>
    </row>
    <row r="36" spans="1:8" ht="12.75">
      <c r="A36" s="3" t="s">
        <v>22</v>
      </c>
      <c r="B36" s="78">
        <v>148568.98</v>
      </c>
      <c r="C36" s="119">
        <v>0</v>
      </c>
      <c r="D36" s="78">
        <v>711818.71</v>
      </c>
      <c r="E36" s="78">
        <v>0</v>
      </c>
      <c r="F36" s="230">
        <v>0</v>
      </c>
      <c r="G36" s="78">
        <v>0</v>
      </c>
      <c r="H36" s="78">
        <v>336996.42</v>
      </c>
    </row>
    <row r="37" spans="1:8" ht="12.75">
      <c r="A37" s="3" t="s">
        <v>23</v>
      </c>
      <c r="B37" s="78">
        <v>89439.89</v>
      </c>
      <c r="C37" s="78">
        <v>180</v>
      </c>
      <c r="D37" s="78">
        <v>1175949.76</v>
      </c>
      <c r="E37" s="78">
        <v>887.49</v>
      </c>
      <c r="F37" s="78">
        <v>53915.96</v>
      </c>
      <c r="G37" s="78">
        <v>0</v>
      </c>
      <c r="H37" s="78">
        <v>489894.39</v>
      </c>
    </row>
    <row r="38" spans="1:8" ht="12.75">
      <c r="A38" s="13" t="s">
        <v>24</v>
      </c>
      <c r="B38" s="105">
        <v>60344.67</v>
      </c>
      <c r="C38" s="105">
        <v>1035</v>
      </c>
      <c r="D38" s="105">
        <v>420227.27</v>
      </c>
      <c r="E38" s="105">
        <v>0</v>
      </c>
      <c r="F38" s="105">
        <v>137480.58</v>
      </c>
      <c r="G38" s="105">
        <v>0</v>
      </c>
      <c r="H38" s="105">
        <v>235471.04</v>
      </c>
    </row>
    <row r="39" spans="1:8" ht="12.75">
      <c r="A39" s="3"/>
      <c r="B39" s="16"/>
      <c r="C39" s="16"/>
      <c r="D39" s="16"/>
      <c r="E39" s="16"/>
      <c r="F39" s="16"/>
      <c r="G39" s="16"/>
      <c r="H39" s="16"/>
    </row>
    <row r="40" spans="1:8" ht="12.75">
      <c r="A40" s="3"/>
      <c r="B40" s="16"/>
      <c r="C40" s="16"/>
      <c r="D40" s="16"/>
      <c r="E40" s="16"/>
      <c r="F40" s="16"/>
      <c r="G40" s="16"/>
      <c r="H40" s="16"/>
    </row>
    <row r="41" spans="1:8" ht="12.75">
      <c r="A41" s="3"/>
      <c r="B41" s="16"/>
      <c r="C41" s="16"/>
      <c r="D41" s="16"/>
      <c r="E41" s="16"/>
      <c r="F41" s="16"/>
      <c r="G41" s="16"/>
      <c r="H41" s="16"/>
    </row>
    <row r="42" spans="1:8" ht="12.75">
      <c r="A42" s="3"/>
      <c r="B42" s="16"/>
      <c r="C42" s="16"/>
      <c r="D42" s="16"/>
      <c r="E42" s="16"/>
      <c r="F42" s="16"/>
      <c r="G42" s="16"/>
      <c r="H42" s="16"/>
    </row>
    <row r="43" spans="1:8" ht="12.75">
      <c r="A43" s="3"/>
      <c r="B43" s="16"/>
      <c r="C43" s="16"/>
      <c r="D43" s="16"/>
      <c r="E43" s="16"/>
      <c r="F43" s="16"/>
      <c r="G43" s="16"/>
      <c r="H43" s="16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</sheetData>
  <sheetProtection password="CAF5" sheet="1"/>
  <mergeCells count="7">
    <mergeCell ref="A1:H1"/>
    <mergeCell ref="A3:H3"/>
    <mergeCell ref="C5:C8"/>
    <mergeCell ref="F5:F8"/>
    <mergeCell ref="D5:D8"/>
    <mergeCell ref="E5:E8"/>
    <mergeCell ref="B5:B8"/>
  </mergeCells>
  <printOptions horizontalCentered="1"/>
  <pageMargins left="0.69" right="0.65" top="0.83" bottom="1.2" header="0.67" footer="0.5"/>
  <pageSetup fitToHeight="1" fitToWidth="1" horizontalDpi="600" verticalDpi="600" orientation="landscape" scale="96" r:id="rId1"/>
  <headerFooter alignWithMargins="0">
    <oddHeader>&amp;R
</oddHeader>
    <oddFooter>&amp;L&amp;"Arial,Italic"&amp;9MSDE-DBS  10 / 2008&amp;C- 16 -&amp;R&amp;"Arial,Italic"&amp;9Selected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zoomScalePageLayoutView="0" workbookViewId="0" topLeftCell="E10">
      <selection activeCell="D11" sqref="D11"/>
    </sheetView>
  </sheetViews>
  <sheetFormatPr defaultColWidth="11.421875" defaultRowHeight="12.75"/>
  <cols>
    <col min="1" max="1" width="17.57421875" style="25" customWidth="1"/>
    <col min="2" max="2" width="12.00390625" style="356" customWidth="1"/>
    <col min="3" max="3" width="17.7109375" style="356" customWidth="1"/>
    <col min="4" max="4" width="13.7109375" style="356" customWidth="1"/>
    <col min="5" max="5" width="14.140625" style="356" customWidth="1"/>
    <col min="6" max="6" width="14.00390625" style="356" customWidth="1"/>
    <col min="7" max="7" width="15.57421875" style="356" customWidth="1"/>
    <col min="8" max="8" width="17.421875" style="356" customWidth="1"/>
    <col min="9" max="9" width="14.7109375" style="356" customWidth="1"/>
    <col min="10" max="10" width="10.8515625" style="356" customWidth="1"/>
    <col min="11" max="11" width="14.7109375" style="356" customWidth="1"/>
    <col min="12" max="12" width="12.57421875" style="356" customWidth="1"/>
    <col min="13" max="16384" width="11.421875" style="25" customWidth="1"/>
  </cols>
  <sheetData>
    <row r="1" spans="1:12" ht="12.75">
      <c r="A1" s="23" t="s">
        <v>101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</row>
    <row r="2" spans="1:12" ht="12.75">
      <c r="A2" s="23"/>
      <c r="B2" s="345"/>
      <c r="C2" s="345"/>
      <c r="D2" s="345"/>
      <c r="E2" s="345"/>
      <c r="F2" s="345"/>
      <c r="G2" s="345"/>
      <c r="H2" s="345"/>
      <c r="I2" s="345"/>
      <c r="J2" s="346"/>
      <c r="K2" s="346"/>
      <c r="L2" s="345"/>
    </row>
    <row r="3" spans="1:12" ht="12.75">
      <c r="A3" s="52" t="s">
        <v>247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2" ht="13.5" thickBot="1">
      <c r="A4" s="53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2" ht="15" customHeight="1" thickTop="1">
      <c r="A5" s="475" t="s">
        <v>196</v>
      </c>
      <c r="B5" s="474" t="s">
        <v>251</v>
      </c>
      <c r="C5" s="474" t="s">
        <v>255</v>
      </c>
      <c r="D5" s="474" t="s">
        <v>198</v>
      </c>
      <c r="E5" s="474" t="s">
        <v>252</v>
      </c>
      <c r="F5" s="474" t="s">
        <v>253</v>
      </c>
      <c r="G5" s="428" t="s">
        <v>102</v>
      </c>
      <c r="H5" s="428"/>
      <c r="I5" s="428"/>
      <c r="J5" s="428"/>
      <c r="K5" s="428"/>
      <c r="L5" s="428"/>
    </row>
    <row r="6" spans="1:12" ht="12.75">
      <c r="A6" s="434"/>
      <c r="B6" s="399"/>
      <c r="C6" s="399"/>
      <c r="D6" s="399"/>
      <c r="E6" s="399"/>
      <c r="F6" s="399"/>
      <c r="G6" s="400" t="s">
        <v>199</v>
      </c>
      <c r="H6" s="400" t="s">
        <v>300</v>
      </c>
      <c r="I6" s="400" t="s">
        <v>299</v>
      </c>
      <c r="J6" s="400" t="s">
        <v>256</v>
      </c>
      <c r="K6" s="400" t="s">
        <v>195</v>
      </c>
      <c r="L6" s="400" t="s">
        <v>197</v>
      </c>
    </row>
    <row r="7" spans="1:12" ht="12.75">
      <c r="A7" s="434"/>
      <c r="B7" s="399"/>
      <c r="C7" s="399"/>
      <c r="D7" s="399"/>
      <c r="E7" s="399"/>
      <c r="F7" s="399"/>
      <c r="G7" s="399"/>
      <c r="H7" s="399"/>
      <c r="I7" s="476"/>
      <c r="J7" s="476"/>
      <c r="K7" s="399"/>
      <c r="L7" s="399"/>
    </row>
    <row r="8" spans="1:12" ht="12.75">
      <c r="A8" s="434"/>
      <c r="B8" s="399"/>
      <c r="C8" s="399"/>
      <c r="D8" s="399"/>
      <c r="E8" s="399"/>
      <c r="F8" s="399"/>
      <c r="G8" s="399"/>
      <c r="H8" s="399"/>
      <c r="I8" s="476"/>
      <c r="J8" s="476"/>
      <c r="K8" s="399"/>
      <c r="L8" s="399"/>
    </row>
    <row r="9" spans="1:12" ht="13.5" thickBot="1">
      <c r="A9" s="43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</row>
    <row r="10" spans="1:12" ht="12.75">
      <c r="A10" s="33" t="s">
        <v>0</v>
      </c>
      <c r="B10" s="267">
        <f>SUM(B12:B39)</f>
        <v>827596</v>
      </c>
      <c r="C10" s="348">
        <f>SUM(C12:C39)</f>
        <v>294135991849</v>
      </c>
      <c r="D10" s="349">
        <f>+C10/B10</f>
        <v>355410.11779781437</v>
      </c>
      <c r="E10" s="348">
        <f aca="true" t="shared" si="0" ref="E10:K10">SUM(E12:E39)</f>
        <v>4931644565</v>
      </c>
      <c r="F10" s="348">
        <f t="shared" si="0"/>
        <v>2460653468</v>
      </c>
      <c r="G10" s="348">
        <f t="shared" si="0"/>
        <v>2470991097</v>
      </c>
      <c r="H10" s="348">
        <f t="shared" si="0"/>
        <v>937012468</v>
      </c>
      <c r="I10" s="348">
        <f t="shared" si="0"/>
        <v>2493221111</v>
      </c>
      <c r="J10" s="234">
        <f t="shared" si="0"/>
        <v>0</v>
      </c>
      <c r="K10" s="348">
        <f t="shared" si="0"/>
        <v>2493221111</v>
      </c>
      <c r="L10" s="350">
        <f>K10/B10</f>
        <v>3012.606526614435</v>
      </c>
    </row>
    <row r="11" spans="1:12" ht="12.75">
      <c r="A11" s="24"/>
      <c r="B11" s="309"/>
      <c r="C11" s="309"/>
      <c r="D11" s="351"/>
      <c r="E11" s="309"/>
      <c r="F11" s="352"/>
      <c r="G11" s="309"/>
      <c r="H11" s="309"/>
      <c r="I11" s="309"/>
      <c r="J11" s="309"/>
      <c r="K11" s="309"/>
      <c r="L11" s="353"/>
    </row>
    <row r="12" spans="1:12" ht="12.75">
      <c r="A12" s="24" t="s">
        <v>1</v>
      </c>
      <c r="B12" s="354">
        <v>9240.95</v>
      </c>
      <c r="C12" s="355">
        <v>1845888123</v>
      </c>
      <c r="D12" s="360">
        <f>+C12/B12</f>
        <v>199750.90472299926</v>
      </c>
      <c r="E12" s="115">
        <v>55066821</v>
      </c>
      <c r="F12" s="355">
        <v>15442146</v>
      </c>
      <c r="G12" s="358">
        <f>+E12-F12</f>
        <v>39624675</v>
      </c>
      <c r="H12" s="361">
        <v>10462696</v>
      </c>
      <c r="I12" s="361">
        <f>IF(G12&gt;H12,G12,H12)</f>
        <v>39624675</v>
      </c>
      <c r="J12" s="362">
        <v>0</v>
      </c>
      <c r="K12" s="363">
        <f>I12+J12</f>
        <v>39624675</v>
      </c>
      <c r="L12" s="357">
        <f>K12/B12</f>
        <v>4287.943880228764</v>
      </c>
    </row>
    <row r="13" spans="1:12" ht="12.75">
      <c r="A13" s="24" t="s">
        <v>2</v>
      </c>
      <c r="B13" s="354">
        <v>71723</v>
      </c>
      <c r="C13" s="355">
        <v>32188385750</v>
      </c>
      <c r="D13" s="360">
        <f>+C13/B13</f>
        <v>448787.4984314655</v>
      </c>
      <c r="E13" s="115">
        <v>427397357</v>
      </c>
      <c r="F13" s="355">
        <v>269278379</v>
      </c>
      <c r="G13" s="358">
        <f>+E13-F13</f>
        <v>158118978</v>
      </c>
      <c r="H13" s="361">
        <v>81205498</v>
      </c>
      <c r="I13" s="361">
        <f>IF(G13&gt;H13,G13,H13)</f>
        <v>158118978</v>
      </c>
      <c r="J13" s="362">
        <v>0</v>
      </c>
      <c r="K13" s="363">
        <f>I13+J13</f>
        <v>158118978</v>
      </c>
      <c r="L13" s="357">
        <f>K13/B13</f>
        <v>2204.578419753775</v>
      </c>
    </row>
    <row r="14" spans="1:12" ht="12.75">
      <c r="A14" s="24" t="s">
        <v>3</v>
      </c>
      <c r="B14" s="354">
        <v>83250.3</v>
      </c>
      <c r="C14" s="355">
        <v>15573718273</v>
      </c>
      <c r="D14" s="360">
        <f>+C14/B14</f>
        <v>187071.01683717655</v>
      </c>
      <c r="E14" s="115">
        <v>496088538</v>
      </c>
      <c r="F14" s="355">
        <v>130285055</v>
      </c>
      <c r="G14" s="358">
        <f>+E14-F14</f>
        <v>365803483</v>
      </c>
      <c r="H14" s="361">
        <v>94256822</v>
      </c>
      <c r="I14" s="361">
        <f>IF(G14&gt;H14,G14,H14)</f>
        <v>365803483</v>
      </c>
      <c r="J14" s="362">
        <v>0</v>
      </c>
      <c r="K14" s="363">
        <f>I14+J14</f>
        <v>365803483</v>
      </c>
      <c r="L14" s="357">
        <f>K14/B14</f>
        <v>4394.019997525535</v>
      </c>
    </row>
    <row r="15" spans="1:12" ht="12.75">
      <c r="A15" s="24" t="s">
        <v>4</v>
      </c>
      <c r="B15" s="354">
        <v>102437.25</v>
      </c>
      <c r="C15" s="355">
        <v>37699941120</v>
      </c>
      <c r="D15" s="360">
        <f>+C15/B15</f>
        <v>368029.609541451</v>
      </c>
      <c r="E15" s="115">
        <v>610423573</v>
      </c>
      <c r="F15" s="355">
        <v>315386397</v>
      </c>
      <c r="G15" s="358">
        <f>+E15-F15</f>
        <v>295037176</v>
      </c>
      <c r="H15" s="361">
        <v>115980479</v>
      </c>
      <c r="I15" s="361">
        <f>IF(G15&gt;H15,G15,H15)</f>
        <v>295037176</v>
      </c>
      <c r="J15" s="362">
        <v>0</v>
      </c>
      <c r="K15" s="363">
        <f>I15+J15</f>
        <v>295037176</v>
      </c>
      <c r="L15" s="357">
        <f>K15/B15</f>
        <v>2880.1747020737084</v>
      </c>
    </row>
    <row r="16" spans="1:12" ht="12.75">
      <c r="A16" s="24" t="s">
        <v>5</v>
      </c>
      <c r="B16" s="354">
        <v>16894.25</v>
      </c>
      <c r="C16" s="355">
        <v>5270014366</v>
      </c>
      <c r="D16" s="360">
        <f>+C16/B16</f>
        <v>311941.3034612368</v>
      </c>
      <c r="E16" s="115">
        <v>100672836</v>
      </c>
      <c r="F16" s="355">
        <v>44087359</v>
      </c>
      <c r="G16" s="358">
        <f>+E16-F16</f>
        <v>56585477</v>
      </c>
      <c r="H16" s="361">
        <v>19127839</v>
      </c>
      <c r="I16" s="361">
        <f>IF(G16&gt;H16,G16,H16)</f>
        <v>56585477</v>
      </c>
      <c r="J16" s="362">
        <v>0</v>
      </c>
      <c r="K16" s="363">
        <f>I16+J16</f>
        <v>56585477</v>
      </c>
      <c r="L16" s="357">
        <f>K16/B16</f>
        <v>3349.3926631842196</v>
      </c>
    </row>
    <row r="17" spans="1:12" ht="12.75">
      <c r="A17" s="24"/>
      <c r="C17" s="358"/>
      <c r="D17" s="364"/>
      <c r="E17" s="163"/>
      <c r="G17" s="358"/>
      <c r="H17" s="361"/>
      <c r="J17" s="358"/>
      <c r="K17" s="358"/>
      <c r="L17" s="357"/>
    </row>
    <row r="18" spans="1:12" ht="12.75">
      <c r="A18" s="24" t="s">
        <v>6</v>
      </c>
      <c r="B18" s="354">
        <v>5277.8</v>
      </c>
      <c r="C18" s="355">
        <v>1090523578</v>
      </c>
      <c r="D18" s="360">
        <f>+C18/B18</f>
        <v>206624.65004357876</v>
      </c>
      <c r="E18" s="115">
        <v>31450410</v>
      </c>
      <c r="F18" s="355">
        <v>9122993</v>
      </c>
      <c r="G18" s="358">
        <f>+E18-F18</f>
        <v>22327417</v>
      </c>
      <c r="H18" s="361">
        <v>5975578</v>
      </c>
      <c r="I18" s="361">
        <f>IF(G18&gt;H18,G18,H18)</f>
        <v>22327417</v>
      </c>
      <c r="J18" s="362">
        <v>0</v>
      </c>
      <c r="K18" s="363">
        <f>I18+J18</f>
        <v>22327417</v>
      </c>
      <c r="L18" s="357">
        <f>K18/B18</f>
        <v>4230.4401455151765</v>
      </c>
    </row>
    <row r="19" spans="1:12" ht="12.75">
      <c r="A19" s="24" t="s">
        <v>7</v>
      </c>
      <c r="B19" s="354">
        <v>28491.75</v>
      </c>
      <c r="C19" s="355">
        <v>8573681866</v>
      </c>
      <c r="D19" s="360">
        <f>+C19/B19</f>
        <v>300918.0505233971</v>
      </c>
      <c r="E19" s="115">
        <v>169782338</v>
      </c>
      <c r="F19" s="355">
        <v>71724850</v>
      </c>
      <c r="G19" s="358">
        <f>+E19-F19</f>
        <v>98057488</v>
      </c>
      <c r="H19" s="361">
        <v>32258644</v>
      </c>
      <c r="I19" s="361">
        <f>IF(G19&gt;H19,G19,H19)</f>
        <v>98057488</v>
      </c>
      <c r="J19" s="362">
        <v>0</v>
      </c>
      <c r="K19" s="363">
        <f>I19+J19</f>
        <v>98057488</v>
      </c>
      <c r="L19" s="357">
        <f>K19/B19</f>
        <v>3441.609869523634</v>
      </c>
    </row>
    <row r="20" spans="1:12" ht="12.75">
      <c r="A20" s="24" t="s">
        <v>8</v>
      </c>
      <c r="B20" s="354">
        <v>15930</v>
      </c>
      <c r="C20" s="355">
        <v>4226467437</v>
      </c>
      <c r="D20" s="360">
        <f>+C20/B20</f>
        <v>265314.96779661014</v>
      </c>
      <c r="E20" s="115">
        <v>94926870</v>
      </c>
      <c r="F20" s="355">
        <v>35357359</v>
      </c>
      <c r="G20" s="358">
        <f>+E20-F20</f>
        <v>59569511</v>
      </c>
      <c r="H20" s="361">
        <v>18036105</v>
      </c>
      <c r="I20" s="361">
        <f>IF(G20&gt;H20,G20,H20)</f>
        <v>59569511</v>
      </c>
      <c r="J20" s="362">
        <v>0</v>
      </c>
      <c r="K20" s="363">
        <f>I20+J20</f>
        <v>59569511</v>
      </c>
      <c r="L20" s="357">
        <f>K20/B20</f>
        <v>3739.454551161331</v>
      </c>
    </row>
    <row r="21" spans="1:12" ht="12.75">
      <c r="A21" s="24" t="s">
        <v>9</v>
      </c>
      <c r="B21" s="354">
        <v>25339.05</v>
      </c>
      <c r="C21" s="355">
        <v>6935972566</v>
      </c>
      <c r="D21" s="360">
        <f>+C21/B21</f>
        <v>273726.62218986114</v>
      </c>
      <c r="E21" s="115">
        <v>150995399</v>
      </c>
      <c r="F21" s="355">
        <v>58024266</v>
      </c>
      <c r="G21" s="358">
        <f>+E21-F21</f>
        <v>92971133</v>
      </c>
      <c r="H21" s="361">
        <v>28689126</v>
      </c>
      <c r="I21" s="361">
        <f>IF(G21&gt;H21,G21,H21)</f>
        <v>92971133</v>
      </c>
      <c r="J21" s="362">
        <v>0</v>
      </c>
      <c r="K21" s="363">
        <f>I21+J21</f>
        <v>92971133</v>
      </c>
      <c r="L21" s="357">
        <f>K21/B21</f>
        <v>3669.085186698002</v>
      </c>
    </row>
    <row r="22" spans="1:12" ht="12.75">
      <c r="A22" s="24" t="s">
        <v>10</v>
      </c>
      <c r="B22" s="354">
        <v>4407.6</v>
      </c>
      <c r="C22" s="355">
        <v>1257483749</v>
      </c>
      <c r="D22" s="360">
        <f>+C22/B22</f>
        <v>285298.97200290405</v>
      </c>
      <c r="E22" s="115">
        <v>26264888</v>
      </c>
      <c r="F22" s="355">
        <v>10519732</v>
      </c>
      <c r="G22" s="358">
        <f>+E22-F22</f>
        <v>15745156</v>
      </c>
      <c r="H22" s="361">
        <v>4990329</v>
      </c>
      <c r="I22" s="361">
        <f>IF(G22&gt;H22,G22,H22)</f>
        <v>15745156</v>
      </c>
      <c r="J22" s="362">
        <v>0</v>
      </c>
      <c r="K22" s="363">
        <f>I22+J22</f>
        <v>15745156</v>
      </c>
      <c r="L22" s="357">
        <f>K22/B22</f>
        <v>3572.274253562029</v>
      </c>
    </row>
    <row r="23" spans="1:12" ht="12.75">
      <c r="A23" s="24"/>
      <c r="B23" s="357"/>
      <c r="C23" s="358"/>
      <c r="D23" s="360"/>
      <c r="E23" s="163"/>
      <c r="F23" s="358"/>
      <c r="G23" s="358"/>
      <c r="H23" s="361"/>
      <c r="I23" s="358"/>
      <c r="J23" s="358"/>
      <c r="K23" s="358"/>
      <c r="L23" s="357"/>
    </row>
    <row r="24" spans="1:12" ht="12.75">
      <c r="A24" s="24" t="s">
        <v>11</v>
      </c>
      <c r="B24" s="354">
        <v>38566</v>
      </c>
      <c r="C24" s="355">
        <v>12012081376</v>
      </c>
      <c r="D24" s="360">
        <f>+C24/B24</f>
        <v>311468.16823108436</v>
      </c>
      <c r="E24" s="115">
        <v>229814794</v>
      </c>
      <c r="F24" s="355">
        <v>100489469</v>
      </c>
      <c r="G24" s="358">
        <f>+E24-F24</f>
        <v>129325325</v>
      </c>
      <c r="H24" s="361">
        <v>43664811</v>
      </c>
      <c r="I24" s="361">
        <f>IF(G24&gt;H24,G24,H24)</f>
        <v>129325325</v>
      </c>
      <c r="J24" s="362">
        <v>0</v>
      </c>
      <c r="K24" s="363">
        <f>I24+J24</f>
        <v>129325325</v>
      </c>
      <c r="L24" s="357">
        <f>K24/B24</f>
        <v>3353.3507493647253</v>
      </c>
    </row>
    <row r="25" spans="1:12" ht="12.75">
      <c r="A25" s="24" t="s">
        <v>12</v>
      </c>
      <c r="B25" s="354">
        <v>4567</v>
      </c>
      <c r="C25" s="355">
        <v>1508975760</v>
      </c>
      <c r="D25" s="360">
        <f>+C25/B25</f>
        <v>330408.5307641778</v>
      </c>
      <c r="E25" s="115">
        <v>27214753</v>
      </c>
      <c r="F25" s="355">
        <v>12623639</v>
      </c>
      <c r="G25" s="358">
        <f>+E25-F25</f>
        <v>14591114</v>
      </c>
      <c r="H25" s="361">
        <v>5170803</v>
      </c>
      <c r="I25" s="361">
        <f>IF(G25&gt;H25,G25,H25)</f>
        <v>14591114</v>
      </c>
      <c r="J25" s="362">
        <v>0</v>
      </c>
      <c r="K25" s="363">
        <f>I25+J25</f>
        <v>14591114</v>
      </c>
      <c r="L25" s="357">
        <f>K25/B25</f>
        <v>3194.9012480840815</v>
      </c>
    </row>
    <row r="26" spans="1:12" ht="12.75">
      <c r="A26" s="24" t="s">
        <v>13</v>
      </c>
      <c r="B26" s="354">
        <v>39015</v>
      </c>
      <c r="C26" s="355">
        <v>11419293398</v>
      </c>
      <c r="D26" s="360">
        <f>+C26/B26</f>
        <v>292689.8218121235</v>
      </c>
      <c r="E26" s="115">
        <v>232490385</v>
      </c>
      <c r="F26" s="355">
        <v>95530383</v>
      </c>
      <c r="G26" s="358">
        <f>+E26-F26</f>
        <v>136960002</v>
      </c>
      <c r="H26" s="361">
        <v>44173173</v>
      </c>
      <c r="I26" s="361">
        <f>IF(G26&gt;H26,G26,H26)</f>
        <v>136960002</v>
      </c>
      <c r="J26" s="362">
        <v>0</v>
      </c>
      <c r="K26" s="363">
        <f>I26+J26</f>
        <v>136960002</v>
      </c>
      <c r="L26" s="357">
        <f>K26/B26</f>
        <v>3510.4447520184544</v>
      </c>
    </row>
    <row r="27" spans="1:12" ht="12.75">
      <c r="A27" s="24" t="s">
        <v>14</v>
      </c>
      <c r="B27" s="354">
        <v>47456.45</v>
      </c>
      <c r="C27" s="355">
        <v>19698837731</v>
      </c>
      <c r="D27" s="360">
        <f>+C27/B27</f>
        <v>415092.94797651324</v>
      </c>
      <c r="E27" s="115">
        <v>282792986</v>
      </c>
      <c r="F27" s="355">
        <v>164794567</v>
      </c>
      <c r="G27" s="358">
        <f>+E27-F27</f>
        <v>117998419</v>
      </c>
      <c r="H27" s="361">
        <v>53730667</v>
      </c>
      <c r="I27" s="361">
        <f>IF(G27&gt;H27,G27,H27)</f>
        <v>117998419</v>
      </c>
      <c r="J27" s="362">
        <v>0</v>
      </c>
      <c r="K27" s="363">
        <f>I27+J27</f>
        <v>117998419</v>
      </c>
      <c r="L27" s="357">
        <f>K27/B27</f>
        <v>2486.4569305120804</v>
      </c>
    </row>
    <row r="28" spans="1:12" ht="12.75">
      <c r="A28" s="24" t="s">
        <v>15</v>
      </c>
      <c r="B28" s="354">
        <v>2287.1</v>
      </c>
      <c r="C28" s="355">
        <v>1074016636</v>
      </c>
      <c r="D28" s="360">
        <f>+C28/B28</f>
        <v>469597.584714267</v>
      </c>
      <c r="E28" s="115">
        <v>13628829</v>
      </c>
      <c r="F28" s="355">
        <v>8984901</v>
      </c>
      <c r="G28" s="358">
        <f>+E28-F28</f>
        <v>4643928</v>
      </c>
      <c r="H28" s="361">
        <v>2589477</v>
      </c>
      <c r="I28" s="361">
        <f>IF(G28&gt;H28,G28,H28)</f>
        <v>4643928</v>
      </c>
      <c r="J28" s="362">
        <v>0</v>
      </c>
      <c r="K28" s="363">
        <f>I28+J28</f>
        <v>4643928</v>
      </c>
      <c r="L28" s="357">
        <f>K28/B28</f>
        <v>2030.4875169428535</v>
      </c>
    </row>
    <row r="29" spans="1:12" ht="12.75">
      <c r="A29" s="24"/>
      <c r="C29" s="358"/>
      <c r="D29" s="360"/>
      <c r="E29" s="163"/>
      <c r="F29" s="358"/>
      <c r="G29" s="358"/>
      <c r="H29" s="361"/>
      <c r="J29" s="358"/>
      <c r="K29" s="358"/>
      <c r="L29" s="357"/>
    </row>
    <row r="30" spans="1:12" ht="12.75">
      <c r="A30" s="24" t="s">
        <v>16</v>
      </c>
      <c r="B30" s="354">
        <v>135266.85</v>
      </c>
      <c r="C30" s="358">
        <v>74849572606</v>
      </c>
      <c r="D30" s="360">
        <f>+C30/B30</f>
        <v>553347.4950144843</v>
      </c>
      <c r="E30" s="115">
        <v>806055159</v>
      </c>
      <c r="F30" s="355">
        <v>626169070</v>
      </c>
      <c r="G30" s="358">
        <f>+E30-F30</f>
        <v>179886089</v>
      </c>
      <c r="H30" s="361">
        <v>153150480</v>
      </c>
      <c r="I30" s="361">
        <f>IF(G30&gt;H30,G30,H30)</f>
        <v>179886089</v>
      </c>
      <c r="J30" s="362">
        <v>0</v>
      </c>
      <c r="K30" s="363">
        <f>I30+J30</f>
        <v>179886089</v>
      </c>
      <c r="L30" s="357">
        <f>K30/B30</f>
        <v>1329.8608565217567</v>
      </c>
    </row>
    <row r="31" spans="1:12" ht="12.75">
      <c r="A31" s="24" t="s">
        <v>17</v>
      </c>
      <c r="B31" s="354">
        <v>126653.7</v>
      </c>
      <c r="C31" s="358">
        <v>33230444991</v>
      </c>
      <c r="D31" s="360">
        <f>+C31/B31</f>
        <v>262372.4770061988</v>
      </c>
      <c r="E31" s="115">
        <v>754729398</v>
      </c>
      <c r="F31" s="355">
        <v>277995934</v>
      </c>
      <c r="G31" s="358">
        <f>+E31-F31</f>
        <v>476733464</v>
      </c>
      <c r="H31" s="361">
        <v>143398586</v>
      </c>
      <c r="I31" s="361">
        <f>IF(G31&gt;H31,G31,H31)</f>
        <v>476733464</v>
      </c>
      <c r="J31" s="362">
        <v>0</v>
      </c>
      <c r="K31" s="363">
        <f>I31+J31</f>
        <v>476733464</v>
      </c>
      <c r="L31" s="357">
        <f>K31/B31</f>
        <v>3764.0705640656374</v>
      </c>
    </row>
    <row r="32" spans="1:12" ht="12.75">
      <c r="A32" s="24" t="s">
        <v>18</v>
      </c>
      <c r="B32" s="354">
        <v>7338.5</v>
      </c>
      <c r="C32" s="358">
        <v>2998491115</v>
      </c>
      <c r="D32" s="360">
        <f>+C32/B32</f>
        <v>408597.2766914219</v>
      </c>
      <c r="E32" s="115">
        <v>43730122</v>
      </c>
      <c r="F32" s="355">
        <v>25084477</v>
      </c>
      <c r="G32" s="358">
        <f>+E32-F32</f>
        <v>18645645</v>
      </c>
      <c r="H32" s="361">
        <v>8308723</v>
      </c>
      <c r="I32" s="361">
        <f>IF(G32&gt;H32,G32,H32)</f>
        <v>18645645</v>
      </c>
      <c r="J32" s="362">
        <v>0</v>
      </c>
      <c r="K32" s="363">
        <f>I32+J32</f>
        <v>18645645</v>
      </c>
      <c r="L32" s="357">
        <f>K32/B32</f>
        <v>2540.797846971452</v>
      </c>
    </row>
    <row r="33" spans="1:12" ht="12.75">
      <c r="A33" s="24" t="s">
        <v>19</v>
      </c>
      <c r="B33" s="354">
        <v>15752.55</v>
      </c>
      <c r="C33" s="358">
        <v>4433314871</v>
      </c>
      <c r="D33" s="360">
        <f>+C33/B33</f>
        <v>281434.7436446798</v>
      </c>
      <c r="E33" s="115">
        <v>93869445</v>
      </c>
      <c r="F33" s="355">
        <v>37087782</v>
      </c>
      <c r="G33" s="358">
        <f>+E33-F33</f>
        <v>56781663</v>
      </c>
      <c r="H33" s="361">
        <v>17835195</v>
      </c>
      <c r="I33" s="361">
        <f>IF(G33&gt;H33,G33,H33)</f>
        <v>56781663</v>
      </c>
      <c r="J33" s="362">
        <v>0</v>
      </c>
      <c r="K33" s="363">
        <f>I33+J33</f>
        <v>56781663</v>
      </c>
      <c r="L33" s="357">
        <f>K33/B33</f>
        <v>3604.6013502575775</v>
      </c>
    </row>
    <row r="34" spans="1:12" ht="12.75">
      <c r="A34" s="24" t="s">
        <v>20</v>
      </c>
      <c r="B34" s="354">
        <v>2733.5</v>
      </c>
      <c r="C34" s="358">
        <v>576969172</v>
      </c>
      <c r="D34" s="360">
        <f>+C34/B34</f>
        <v>211073.41210901775</v>
      </c>
      <c r="E34" s="115">
        <v>16288927</v>
      </c>
      <c r="F34" s="355">
        <v>4826751</v>
      </c>
      <c r="G34" s="358">
        <f>+E34-F34</f>
        <v>11462176</v>
      </c>
      <c r="H34" s="361">
        <v>3094896</v>
      </c>
      <c r="I34" s="361">
        <f>IF(G34&gt;H34,G34,H34)</f>
        <v>11462176</v>
      </c>
      <c r="J34" s="362">
        <v>0</v>
      </c>
      <c r="K34" s="363">
        <f>I34+J34</f>
        <v>11462176</v>
      </c>
      <c r="L34" s="357">
        <f>K34/B34</f>
        <v>4193.223340040241</v>
      </c>
    </row>
    <row r="35" spans="1:12" ht="12.75">
      <c r="A35" s="24"/>
      <c r="C35" s="358"/>
      <c r="D35" s="360"/>
      <c r="E35" s="163"/>
      <c r="F35" s="358"/>
      <c r="G35" s="358"/>
      <c r="H35" s="361"/>
      <c r="I35" s="358"/>
      <c r="J35" s="358"/>
      <c r="K35" s="358"/>
      <c r="L35" s="357"/>
    </row>
    <row r="36" spans="1:12" ht="12.75">
      <c r="A36" s="24" t="s">
        <v>21</v>
      </c>
      <c r="B36" s="354">
        <v>4263.85</v>
      </c>
      <c r="C36" s="358">
        <v>3179739372</v>
      </c>
      <c r="D36" s="360">
        <f>+C36/B36</f>
        <v>745743.7226919333</v>
      </c>
      <c r="E36" s="115">
        <v>25408282</v>
      </c>
      <c r="F36" s="355">
        <v>26600746</v>
      </c>
      <c r="G36" s="363">
        <f>+E36-F36</f>
        <v>-1192464</v>
      </c>
      <c r="H36" s="361">
        <v>4827574</v>
      </c>
      <c r="I36" s="361">
        <f>IF(G36&gt;H36,G36,H36)</f>
        <v>4827574</v>
      </c>
      <c r="J36" s="362">
        <v>0</v>
      </c>
      <c r="K36" s="363">
        <f>I36+J36</f>
        <v>4827574</v>
      </c>
      <c r="L36" s="357">
        <f>K36/B36</f>
        <v>1132.210091818427</v>
      </c>
    </row>
    <row r="37" spans="1:12" ht="12.75">
      <c r="A37" s="24" t="s">
        <v>22</v>
      </c>
      <c r="B37" s="354">
        <v>20484.5</v>
      </c>
      <c r="C37" s="358">
        <v>5585714804</v>
      </c>
      <c r="D37" s="360">
        <f>+C37/B37</f>
        <v>272680.06561058364</v>
      </c>
      <c r="E37" s="115">
        <v>122067136</v>
      </c>
      <c r="F37" s="355">
        <v>46728414</v>
      </c>
      <c r="G37" s="358">
        <f>+E37-F37</f>
        <v>75338722</v>
      </c>
      <c r="H37" s="361">
        <v>23192756</v>
      </c>
      <c r="I37" s="361">
        <f>IF(G37&gt;H37,G37,H37)</f>
        <v>75338722</v>
      </c>
      <c r="J37" s="362">
        <v>0</v>
      </c>
      <c r="K37" s="363">
        <f>I37+J37</f>
        <v>75338722</v>
      </c>
      <c r="L37" s="357">
        <f>K37/B37</f>
        <v>3677.8404159242355</v>
      </c>
    </row>
    <row r="38" spans="1:12" ht="12.75">
      <c r="A38" s="24" t="s">
        <v>23</v>
      </c>
      <c r="B38" s="354">
        <v>13806.15</v>
      </c>
      <c r="C38" s="358">
        <v>3268716504</v>
      </c>
      <c r="D38" s="360">
        <f>+C38/B38</f>
        <v>236758.003063852</v>
      </c>
      <c r="E38" s="115">
        <v>82270848</v>
      </c>
      <c r="F38" s="355">
        <v>27345102</v>
      </c>
      <c r="G38" s="358">
        <f>+E38-F38</f>
        <v>54925746</v>
      </c>
      <c r="H38" s="361">
        <v>15631461</v>
      </c>
      <c r="I38" s="361">
        <f>IF(G38&gt;H38,G38,H38)</f>
        <v>54925746</v>
      </c>
      <c r="J38" s="362">
        <v>0</v>
      </c>
      <c r="K38" s="363">
        <f>I38+J38</f>
        <v>54925746</v>
      </c>
      <c r="L38" s="357">
        <f>K38/B38</f>
        <v>3978.353559826599</v>
      </c>
    </row>
    <row r="39" spans="1:12" ht="12.75">
      <c r="A39" s="24" t="s">
        <v>24</v>
      </c>
      <c r="B39" s="354">
        <v>6412.9</v>
      </c>
      <c r="C39" s="358">
        <v>5637746685</v>
      </c>
      <c r="D39" s="360">
        <f>+C39/B39</f>
        <v>879125.9313259212</v>
      </c>
      <c r="E39" s="115">
        <v>38214471</v>
      </c>
      <c r="F39" s="355">
        <v>47163697</v>
      </c>
      <c r="G39" s="365">
        <f>+E39-F39</f>
        <v>-8949226</v>
      </c>
      <c r="H39" s="366">
        <v>7260750</v>
      </c>
      <c r="I39" s="366">
        <f>IF(G39&gt;H39,G39,H39)</f>
        <v>7260750</v>
      </c>
      <c r="J39" s="362">
        <v>0</v>
      </c>
      <c r="K39" s="363">
        <f>I39+J39</f>
        <v>7260750</v>
      </c>
      <c r="L39" s="357">
        <f>K39/B39</f>
        <v>1132.210076564425</v>
      </c>
    </row>
    <row r="40" spans="1:12" ht="12.75">
      <c r="A40" s="27" t="s">
        <v>123</v>
      </c>
      <c r="B40" s="367"/>
      <c r="C40" s="367"/>
      <c r="D40" s="367"/>
      <c r="E40" s="367"/>
      <c r="F40" s="367"/>
      <c r="G40" s="367"/>
      <c r="H40" s="361"/>
      <c r="J40" s="367"/>
      <c r="K40" s="367"/>
      <c r="L40" s="367"/>
    </row>
    <row r="41" spans="1:12" ht="12.75">
      <c r="A41" s="24" t="s">
        <v>124</v>
      </c>
      <c r="B41" s="358"/>
      <c r="C41" s="159"/>
      <c r="D41" s="159"/>
      <c r="E41" s="159"/>
      <c r="F41" s="159"/>
      <c r="G41" s="159"/>
      <c r="H41" s="159"/>
      <c r="J41" s="159"/>
      <c r="K41" s="159"/>
      <c r="L41" s="159"/>
    </row>
    <row r="42" spans="1:12" ht="12.75">
      <c r="A42" s="24"/>
      <c r="B42" s="358"/>
      <c r="C42" s="358"/>
      <c r="D42" s="358"/>
      <c r="E42" s="358"/>
      <c r="F42" s="358"/>
      <c r="G42" s="358"/>
      <c r="H42" s="358"/>
      <c r="J42" s="358"/>
      <c r="K42" s="358"/>
      <c r="L42" s="358"/>
    </row>
    <row r="43" spans="1:12" ht="12.75">
      <c r="A43" s="24" t="s">
        <v>290</v>
      </c>
      <c r="B43" s="358"/>
      <c r="C43" s="358"/>
      <c r="D43" s="358"/>
      <c r="E43" s="358"/>
      <c r="F43" s="358"/>
      <c r="G43" s="358"/>
      <c r="H43" s="358"/>
      <c r="I43" s="361"/>
      <c r="J43" s="358"/>
      <c r="K43" s="358"/>
      <c r="L43" s="358"/>
    </row>
    <row r="44" spans="1:12" ht="12.75">
      <c r="A44" s="24"/>
      <c r="B44" s="358"/>
      <c r="C44" s="358"/>
      <c r="D44" s="358"/>
      <c r="E44" s="358"/>
      <c r="F44" s="358"/>
      <c r="G44" s="358"/>
      <c r="H44" s="358"/>
      <c r="I44" s="361"/>
      <c r="J44" s="358"/>
      <c r="K44" s="358"/>
      <c r="L44" s="358"/>
    </row>
    <row r="45" spans="1:12" ht="12.75">
      <c r="A45" s="24" t="s">
        <v>291</v>
      </c>
      <c r="B45" s="358"/>
      <c r="C45" s="358"/>
      <c r="D45" s="358"/>
      <c r="E45" s="358"/>
      <c r="F45" s="358"/>
      <c r="G45" s="358"/>
      <c r="H45" s="358"/>
      <c r="I45" s="368"/>
      <c r="J45" s="358"/>
      <c r="K45" s="358"/>
      <c r="L45" s="358"/>
    </row>
    <row r="46" spans="1:12" ht="12.75">
      <c r="A46" s="24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</row>
    <row r="47" spans="1:12" ht="12.75">
      <c r="A47" s="24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</row>
    <row r="48" spans="1:12" ht="12.75">
      <c r="A48" s="24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</row>
    <row r="49" spans="1:12" ht="12.75">
      <c r="A49" s="24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</row>
    <row r="50" spans="1:12" ht="12.75">
      <c r="A50" s="24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</row>
    <row r="51" spans="1:12" ht="12.75">
      <c r="A51" s="24"/>
      <c r="B51" s="358"/>
      <c r="C51" s="358"/>
      <c r="D51" s="358"/>
      <c r="E51" s="358"/>
      <c r="F51" s="369"/>
      <c r="G51" s="358"/>
      <c r="H51" s="358"/>
      <c r="I51" s="358"/>
      <c r="J51" s="358"/>
      <c r="K51" s="358"/>
      <c r="L51" s="358"/>
    </row>
    <row r="52" spans="1:12" ht="12.75">
      <c r="A52" s="24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</row>
    <row r="53" spans="1:12" ht="12.75">
      <c r="A53" s="24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</row>
    <row r="54" spans="1:12" ht="12.75">
      <c r="A54" s="24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</row>
    <row r="55" spans="1:12" ht="12.75">
      <c r="A55" s="24"/>
      <c r="B55" s="358"/>
      <c r="C55" s="358"/>
      <c r="D55" s="358"/>
      <c r="E55" s="358"/>
      <c r="F55" s="358"/>
      <c r="G55" s="358"/>
      <c r="H55" s="358"/>
      <c r="I55" s="358"/>
      <c r="J55" s="358"/>
      <c r="K55" s="358"/>
      <c r="L55" s="358"/>
    </row>
    <row r="56" spans="1:12" ht="12.75">
      <c r="A56" s="24"/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</row>
    <row r="57" spans="1:12" ht="12.75">
      <c r="A57" s="24"/>
      <c r="B57" s="358"/>
      <c r="C57" s="358"/>
      <c r="D57" s="358"/>
      <c r="E57" s="358"/>
      <c r="F57" s="358"/>
      <c r="G57" s="358"/>
      <c r="H57" s="358"/>
      <c r="I57" s="358"/>
      <c r="J57" s="358"/>
      <c r="K57" s="358"/>
      <c r="L57" s="358"/>
    </row>
    <row r="58" spans="1:12" ht="12.75">
      <c r="A58" s="24"/>
      <c r="B58" s="358"/>
      <c r="C58" s="358"/>
      <c r="D58" s="358"/>
      <c r="E58" s="358"/>
      <c r="F58" s="358"/>
      <c r="G58" s="358"/>
      <c r="H58" s="358"/>
      <c r="I58" s="358"/>
      <c r="J58" s="358"/>
      <c r="K58" s="358"/>
      <c r="L58" s="358"/>
    </row>
    <row r="59" spans="1:12" ht="12.75">
      <c r="A59" s="24"/>
      <c r="B59" s="358"/>
      <c r="C59" s="358"/>
      <c r="D59" s="358"/>
      <c r="E59" s="358"/>
      <c r="F59" s="358"/>
      <c r="G59" s="358"/>
      <c r="H59" s="358"/>
      <c r="I59" s="358"/>
      <c r="J59" s="358"/>
      <c r="K59" s="358"/>
      <c r="L59" s="358"/>
    </row>
    <row r="60" spans="1:12" ht="12.75">
      <c r="A60" s="24"/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</row>
    <row r="61" spans="1:12" ht="12.75">
      <c r="A61" s="24"/>
      <c r="B61" s="358"/>
      <c r="C61" s="358"/>
      <c r="D61" s="358"/>
      <c r="E61" s="358"/>
      <c r="F61" s="358"/>
      <c r="G61" s="358"/>
      <c r="H61" s="358"/>
      <c r="I61" s="358"/>
      <c r="J61" s="358"/>
      <c r="K61" s="358"/>
      <c r="L61" s="358"/>
    </row>
    <row r="62" spans="1:12" ht="12.75">
      <c r="A62" s="24"/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</row>
    <row r="63" spans="1:12" ht="12.75">
      <c r="A63" s="24"/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</row>
    <row r="64" spans="1:12" ht="12.75">
      <c r="A64" s="24"/>
      <c r="B64" s="358"/>
      <c r="C64" s="358"/>
      <c r="D64" s="358"/>
      <c r="E64" s="358"/>
      <c r="F64" s="358"/>
      <c r="G64" s="358"/>
      <c r="H64" s="358"/>
      <c r="I64" s="358"/>
      <c r="J64" s="358"/>
      <c r="K64" s="358"/>
      <c r="L64" s="358"/>
    </row>
    <row r="65" spans="1:12" ht="12.75">
      <c r="A65" s="24"/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</row>
    <row r="66" spans="1:12" ht="12.75">
      <c r="A66" s="24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</row>
    <row r="67" spans="1:12" ht="12.75">
      <c r="A67" s="24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</row>
    <row r="68" spans="1:12" ht="12.75">
      <c r="A68" s="24"/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</row>
    <row r="69" spans="1:12" ht="12.75">
      <c r="A69" s="24"/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</row>
    <row r="70" spans="1:12" ht="12.75">
      <c r="A70" s="24"/>
      <c r="B70" s="358"/>
      <c r="C70" s="358"/>
      <c r="D70" s="358"/>
      <c r="E70" s="358"/>
      <c r="F70" s="358"/>
      <c r="G70" s="358"/>
      <c r="H70" s="358"/>
      <c r="I70" s="358"/>
      <c r="J70" s="358"/>
      <c r="K70" s="358"/>
      <c r="L70" s="358"/>
    </row>
    <row r="71" spans="1:12" ht="12.75">
      <c r="A71" s="24"/>
      <c r="B71" s="358"/>
      <c r="C71" s="358"/>
      <c r="D71" s="358"/>
      <c r="E71" s="358"/>
      <c r="F71" s="358"/>
      <c r="G71" s="358"/>
      <c r="H71" s="358"/>
      <c r="I71" s="358"/>
      <c r="J71" s="358"/>
      <c r="K71" s="358"/>
      <c r="L71" s="358"/>
    </row>
    <row r="72" spans="1:12" ht="12.75">
      <c r="A72" s="24"/>
      <c r="B72" s="358"/>
      <c r="C72" s="358"/>
      <c r="D72" s="358"/>
      <c r="E72" s="358"/>
      <c r="F72" s="358"/>
      <c r="G72" s="358"/>
      <c r="H72" s="358"/>
      <c r="I72" s="358"/>
      <c r="J72" s="358"/>
      <c r="K72" s="358"/>
      <c r="L72" s="358"/>
    </row>
    <row r="73" spans="1:12" ht="12.75">
      <c r="A73" s="24"/>
      <c r="B73" s="358"/>
      <c r="C73" s="358"/>
      <c r="D73" s="358"/>
      <c r="E73" s="358"/>
      <c r="F73" s="358"/>
      <c r="G73" s="358"/>
      <c r="H73" s="358"/>
      <c r="I73" s="358"/>
      <c r="J73" s="358"/>
      <c r="K73" s="358"/>
      <c r="L73" s="358"/>
    </row>
    <row r="74" spans="1:12" ht="12.75">
      <c r="A74" s="24"/>
      <c r="B74" s="358"/>
      <c r="C74" s="358"/>
      <c r="D74" s="358"/>
      <c r="E74" s="358"/>
      <c r="F74" s="358"/>
      <c r="G74" s="358"/>
      <c r="H74" s="358"/>
      <c r="I74" s="358"/>
      <c r="J74" s="358"/>
      <c r="K74" s="358"/>
      <c r="L74" s="358"/>
    </row>
    <row r="75" spans="2:12" ht="12.75"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</row>
    <row r="76" spans="2:12" ht="12.75">
      <c r="B76" s="359"/>
      <c r="C76" s="359"/>
      <c r="D76" s="359"/>
      <c r="E76" s="359"/>
      <c r="F76" s="359"/>
      <c r="G76" s="359"/>
      <c r="H76" s="359"/>
      <c r="I76" s="359"/>
      <c r="J76" s="359"/>
      <c r="K76" s="359"/>
      <c r="L76" s="359"/>
    </row>
    <row r="77" spans="2:12" ht="12.75">
      <c r="B77" s="359"/>
      <c r="C77" s="359"/>
      <c r="D77" s="359"/>
      <c r="E77" s="359"/>
      <c r="F77" s="359"/>
      <c r="G77" s="359"/>
      <c r="H77" s="359"/>
      <c r="I77" s="359"/>
      <c r="J77" s="359"/>
      <c r="K77" s="359"/>
      <c r="L77" s="359"/>
    </row>
    <row r="78" spans="2:12" ht="12.75">
      <c r="B78" s="359"/>
      <c r="C78" s="359"/>
      <c r="D78" s="359"/>
      <c r="E78" s="359"/>
      <c r="F78" s="359"/>
      <c r="G78" s="359"/>
      <c r="H78" s="359"/>
      <c r="I78" s="359"/>
      <c r="J78" s="359"/>
      <c r="K78" s="359"/>
      <c r="L78" s="359"/>
    </row>
    <row r="79" spans="2:12" ht="12.75"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</row>
    <row r="80" spans="2:12" ht="12.75">
      <c r="B80" s="359"/>
      <c r="C80" s="359"/>
      <c r="D80" s="359"/>
      <c r="E80" s="359"/>
      <c r="F80" s="359"/>
      <c r="G80" s="359"/>
      <c r="H80" s="359"/>
      <c r="I80" s="359"/>
      <c r="J80" s="359"/>
      <c r="K80" s="359"/>
      <c r="L80" s="359"/>
    </row>
    <row r="81" spans="2:12" ht="12.75"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</row>
    <row r="82" spans="2:12" ht="12.75">
      <c r="B82" s="359"/>
      <c r="C82" s="359"/>
      <c r="D82" s="359"/>
      <c r="E82" s="359"/>
      <c r="F82" s="359"/>
      <c r="G82" s="359"/>
      <c r="H82" s="359"/>
      <c r="I82" s="359"/>
      <c r="J82" s="359"/>
      <c r="K82" s="359"/>
      <c r="L82" s="359"/>
    </row>
    <row r="83" spans="2:12" ht="12.75">
      <c r="B83" s="359"/>
      <c r="C83" s="359"/>
      <c r="D83" s="359"/>
      <c r="E83" s="359"/>
      <c r="F83" s="359"/>
      <c r="G83" s="359"/>
      <c r="H83" s="359"/>
      <c r="I83" s="359"/>
      <c r="J83" s="359"/>
      <c r="K83" s="359"/>
      <c r="L83" s="359"/>
    </row>
    <row r="84" spans="2:12" ht="12.75"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</row>
    <row r="85" spans="2:12" ht="12.75">
      <c r="B85" s="359"/>
      <c r="C85" s="359"/>
      <c r="D85" s="359"/>
      <c r="E85" s="359"/>
      <c r="F85" s="359"/>
      <c r="G85" s="359"/>
      <c r="H85" s="359"/>
      <c r="I85" s="359"/>
      <c r="J85" s="359"/>
      <c r="K85" s="359"/>
      <c r="L85" s="359"/>
    </row>
    <row r="86" spans="2:12" ht="12.75"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</row>
    <row r="87" spans="2:12" ht="12.75"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</row>
    <row r="88" spans="2:12" ht="12.75"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</row>
    <row r="89" spans="2:12" ht="12.75">
      <c r="B89" s="359"/>
      <c r="C89" s="359"/>
      <c r="D89" s="359"/>
      <c r="E89" s="359"/>
      <c r="F89" s="359"/>
      <c r="G89" s="359"/>
      <c r="H89" s="359"/>
      <c r="I89" s="359"/>
      <c r="J89" s="359"/>
      <c r="K89" s="359"/>
      <c r="L89" s="359"/>
    </row>
    <row r="90" spans="2:12" ht="12.75"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</row>
    <row r="91" spans="2:12" ht="12.75"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</row>
    <row r="92" spans="2:12" ht="12.75"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</row>
    <row r="93" spans="2:12" ht="12.75"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</row>
    <row r="94" spans="2:12" ht="12.75"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</row>
    <row r="95" spans="2:12" ht="12.75"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</row>
    <row r="96" spans="2:12" ht="12.75"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</row>
    <row r="97" spans="2:12" ht="12.75"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</row>
    <row r="98" spans="2:12" ht="12.75"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</row>
    <row r="99" spans="2:12" ht="12.75"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</row>
    <row r="100" spans="2:12" ht="12.75"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</row>
    <row r="101" spans="2:12" ht="12.75"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</row>
    <row r="102" spans="2:12" ht="12.75"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</row>
    <row r="103" spans="2:12" ht="12.75"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</row>
    <row r="104" spans="2:12" ht="12.75"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</row>
    <row r="105" spans="2:12" ht="12.75"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</row>
    <row r="106" spans="2:12" ht="12.75"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</row>
    <row r="107" spans="2:12" ht="12.75"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</row>
    <row r="108" spans="2:12" ht="12.75"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</row>
    <row r="109" spans="2:12" ht="12.75">
      <c r="B109" s="359"/>
      <c r="C109" s="359"/>
      <c r="D109" s="359"/>
      <c r="E109" s="359"/>
      <c r="F109" s="359"/>
      <c r="G109" s="359"/>
      <c r="H109" s="359"/>
      <c r="I109" s="359"/>
      <c r="J109" s="359"/>
      <c r="K109" s="359"/>
      <c r="L109" s="359"/>
    </row>
  </sheetData>
  <sheetProtection password="CAF5" sheet="1" objects="1" scenarios="1"/>
  <mergeCells count="13">
    <mergeCell ref="G5:L5"/>
    <mergeCell ref="J6:J9"/>
    <mergeCell ref="E5:E9"/>
    <mergeCell ref="F5:F9"/>
    <mergeCell ref="G6:G9"/>
    <mergeCell ref="H6:H9"/>
    <mergeCell ref="I6:I9"/>
    <mergeCell ref="K6:K9"/>
    <mergeCell ref="L6:L9"/>
    <mergeCell ref="D5:D9"/>
    <mergeCell ref="C5:C9"/>
    <mergeCell ref="B5:B9"/>
    <mergeCell ref="A5:A9"/>
  </mergeCells>
  <printOptions horizontalCentered="1"/>
  <pageMargins left="0.61" right="0.75" top="0.83" bottom="1" header="0.67" footer="0.5"/>
  <pageSetup fitToHeight="1" fitToWidth="1" horizontalDpi="600" verticalDpi="600" orientation="landscape" scale="10" r:id="rId1"/>
  <headerFooter alignWithMargins="0">
    <oddHeader>&amp;R
</oddHeader>
    <oddFooter>&amp;L&amp;"Arial,Italic"&amp;9MSDE-DBS  10 / 2008&amp;C- 17 -&amp;R&amp;"Arial,Italic"&amp;9Selected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PageLayoutView="0" workbookViewId="0" topLeftCell="C1">
      <selection activeCell="A48" sqref="A48"/>
    </sheetView>
  </sheetViews>
  <sheetFormatPr defaultColWidth="11.421875" defaultRowHeight="12.75"/>
  <cols>
    <col min="1" max="1" width="21.57421875" style="25" customWidth="1"/>
    <col min="2" max="2" width="14.7109375" style="25" customWidth="1"/>
    <col min="3" max="3" width="13.57421875" style="25" customWidth="1"/>
    <col min="4" max="4" width="15.28125" style="356" customWidth="1"/>
    <col min="5" max="5" width="17.421875" style="25" customWidth="1"/>
    <col min="6" max="6" width="15.28125" style="25" customWidth="1"/>
    <col min="7" max="7" width="16.7109375" style="25" customWidth="1"/>
    <col min="8" max="8" width="15.421875" style="25" customWidth="1"/>
    <col min="9" max="9" width="17.8515625" style="25" customWidth="1"/>
    <col min="10" max="11" width="11.421875" style="25" customWidth="1"/>
    <col min="12" max="12" width="14.57421875" style="25" customWidth="1"/>
    <col min="13" max="16384" width="11.421875" style="25" customWidth="1"/>
  </cols>
  <sheetData>
    <row r="1" spans="1:13" ht="12.75">
      <c r="A1" s="23" t="s">
        <v>104</v>
      </c>
      <c r="B1" s="23"/>
      <c r="C1" s="23"/>
      <c r="D1" s="345"/>
      <c r="E1" s="23"/>
      <c r="F1" s="23"/>
      <c r="G1" s="23"/>
      <c r="H1" s="23"/>
      <c r="I1" s="23"/>
      <c r="J1" s="24"/>
      <c r="K1" s="24"/>
      <c r="L1" s="24"/>
      <c r="M1" s="24"/>
    </row>
    <row r="2" spans="1:13" ht="12.75">
      <c r="A2" s="23"/>
      <c r="B2" s="23"/>
      <c r="C2" s="23"/>
      <c r="D2" s="345"/>
      <c r="E2" s="23"/>
      <c r="F2" s="23"/>
      <c r="G2" s="23"/>
      <c r="H2" s="23"/>
      <c r="I2" s="23"/>
      <c r="J2" s="24"/>
      <c r="K2" s="24"/>
      <c r="L2" s="24"/>
      <c r="M2" s="24"/>
    </row>
    <row r="3" spans="1:13" ht="12.75">
      <c r="A3" s="23" t="s">
        <v>248</v>
      </c>
      <c r="B3" s="23"/>
      <c r="C3" s="23"/>
      <c r="D3" s="345"/>
      <c r="E3" s="23"/>
      <c r="F3" s="23"/>
      <c r="G3" s="23"/>
      <c r="H3" s="23"/>
      <c r="I3" s="23"/>
      <c r="J3" s="24"/>
      <c r="K3" s="24"/>
      <c r="L3" s="24"/>
      <c r="M3" s="24"/>
    </row>
    <row r="4" spans="1:13" ht="12.75">
      <c r="A4" s="23"/>
      <c r="B4" s="23"/>
      <c r="C4" s="23"/>
      <c r="D4" s="345"/>
      <c r="E4" s="23"/>
      <c r="F4" s="23"/>
      <c r="G4" s="23"/>
      <c r="H4" s="23"/>
      <c r="I4" s="23"/>
      <c r="J4" s="24"/>
      <c r="K4" s="24"/>
      <c r="L4" s="24"/>
      <c r="M4" s="24"/>
    </row>
    <row r="5" spans="1:13" ht="13.5" thickBot="1">
      <c r="A5" s="53"/>
      <c r="B5" s="53"/>
      <c r="C5" s="53"/>
      <c r="D5" s="260"/>
      <c r="E5" s="53"/>
      <c r="F5" s="53"/>
      <c r="G5" s="53"/>
      <c r="H5" s="53"/>
      <c r="I5" s="53"/>
      <c r="J5" s="24"/>
      <c r="K5" s="24"/>
      <c r="L5" s="24"/>
      <c r="M5" s="24"/>
    </row>
    <row r="6" spans="1:13" ht="13.5" customHeight="1" thickTop="1">
      <c r="A6" s="24"/>
      <c r="B6" s="473" t="s">
        <v>257</v>
      </c>
      <c r="C6" s="479" t="s">
        <v>258</v>
      </c>
      <c r="D6" s="480" t="s">
        <v>201</v>
      </c>
      <c r="E6" s="473" t="s">
        <v>200</v>
      </c>
      <c r="F6" s="473" t="s">
        <v>259</v>
      </c>
      <c r="G6" s="473" t="s">
        <v>202</v>
      </c>
      <c r="H6" s="473" t="s">
        <v>262</v>
      </c>
      <c r="I6" s="473" t="s">
        <v>203</v>
      </c>
      <c r="J6" s="24"/>
      <c r="K6" s="24"/>
      <c r="L6" s="24"/>
      <c r="M6" s="24"/>
    </row>
    <row r="7" spans="1:13" ht="12.75">
      <c r="A7" s="35" t="s">
        <v>85</v>
      </c>
      <c r="B7" s="477"/>
      <c r="C7" s="478"/>
      <c r="D7" s="414"/>
      <c r="E7" s="478"/>
      <c r="F7" s="478"/>
      <c r="G7" s="478"/>
      <c r="H7" s="401"/>
      <c r="I7" s="478"/>
      <c r="J7" s="24"/>
      <c r="K7" s="24"/>
      <c r="L7" s="24"/>
      <c r="M7" s="24"/>
    </row>
    <row r="8" spans="1:13" ht="12.75">
      <c r="A8" s="33" t="s">
        <v>35</v>
      </c>
      <c r="B8" s="477"/>
      <c r="C8" s="401"/>
      <c r="D8" s="481"/>
      <c r="E8" s="401"/>
      <c r="F8" s="478"/>
      <c r="G8" s="401"/>
      <c r="H8" s="401"/>
      <c r="I8" s="478"/>
      <c r="J8" s="24"/>
      <c r="K8" s="24"/>
      <c r="L8" s="24"/>
      <c r="M8" s="24"/>
    </row>
    <row r="9" spans="1:13" ht="13.5" thickBot="1">
      <c r="A9" s="58" t="s">
        <v>144</v>
      </c>
      <c r="B9" s="467"/>
      <c r="C9" s="55" t="s">
        <v>105</v>
      </c>
      <c r="D9" s="264" t="s">
        <v>106</v>
      </c>
      <c r="E9" s="81" t="s">
        <v>261</v>
      </c>
      <c r="F9" s="393"/>
      <c r="G9" s="81" t="s">
        <v>260</v>
      </c>
      <c r="H9" s="393"/>
      <c r="I9" s="393"/>
      <c r="J9" s="24"/>
      <c r="K9" s="24"/>
      <c r="L9" s="24"/>
      <c r="M9" s="24"/>
    </row>
    <row r="10" spans="1:13" ht="12.75">
      <c r="A10" s="33" t="s">
        <v>0</v>
      </c>
      <c r="B10" s="56">
        <f>SUM(B12:B39)</f>
        <v>261088</v>
      </c>
      <c r="C10" s="57">
        <f>SUM(C12:C39)</f>
        <v>694232992</v>
      </c>
      <c r="D10" s="370">
        <v>355410.11779781437</v>
      </c>
      <c r="E10" s="57">
        <f>SUM(E12:E39)</f>
        <v>895348910</v>
      </c>
      <c r="F10" s="57">
        <f>SUM(F12:F39)</f>
        <v>694232951.7890699</v>
      </c>
      <c r="G10" s="57">
        <f>SUM(G12:G39)</f>
        <v>527617072</v>
      </c>
      <c r="H10" s="57">
        <f>SUM(H12:H39)+1</f>
        <v>32419697.490104005</v>
      </c>
      <c r="I10" s="57">
        <f>SUM(I12:I39)+1</f>
        <v>726652649.279174</v>
      </c>
      <c r="J10" s="24"/>
      <c r="K10" s="24"/>
      <c r="L10" s="24"/>
      <c r="M10" s="24"/>
    </row>
    <row r="11" spans="1:13" ht="12.75">
      <c r="A11" s="24"/>
      <c r="B11" s="26"/>
      <c r="C11" s="26"/>
      <c r="D11" s="309"/>
      <c r="E11" s="26"/>
      <c r="F11" s="26"/>
      <c r="G11" s="26"/>
      <c r="H11" s="26"/>
      <c r="I11" s="26"/>
      <c r="J11" s="24"/>
      <c r="K11" s="24"/>
      <c r="L11" s="24"/>
      <c r="M11" s="24"/>
    </row>
    <row r="12" spans="1:13" ht="12.75">
      <c r="A12" s="24" t="s">
        <v>1</v>
      </c>
      <c r="B12" s="26">
        <v>4377</v>
      </c>
      <c r="C12" s="26">
        <f>+B12*2659</f>
        <v>11638443</v>
      </c>
      <c r="D12" s="309">
        <v>199750.90472299926</v>
      </c>
      <c r="E12" s="26">
        <v>20707875</v>
      </c>
      <c r="F12" s="26">
        <f>E12*0.775377</f>
        <v>16056409.993874999</v>
      </c>
      <c r="G12" s="26">
        <v>8845217</v>
      </c>
      <c r="H12" s="56">
        <f>IF(F12&gt;G12,0,(G12-F12))</f>
        <v>0</v>
      </c>
      <c r="I12" s="26">
        <f>MAX(F12,G12)</f>
        <v>16056409.993874999</v>
      </c>
      <c r="J12" s="30"/>
      <c r="K12" s="24"/>
      <c r="L12" s="26"/>
      <c r="M12" s="24"/>
    </row>
    <row r="13" spans="1:13" ht="12.75">
      <c r="A13" s="24" t="s">
        <v>2</v>
      </c>
      <c r="B13" s="26">
        <v>14675</v>
      </c>
      <c r="C13" s="26">
        <f>+B13*2659</f>
        <v>39020825</v>
      </c>
      <c r="D13" s="309">
        <v>448787.4984314655</v>
      </c>
      <c r="E13" s="26">
        <v>30901945</v>
      </c>
      <c r="F13" s="26">
        <f>E13*0.775377</f>
        <v>23960657.408265</v>
      </c>
      <c r="G13" s="26">
        <v>29655827</v>
      </c>
      <c r="H13" s="56">
        <f>IF(F13&gt;G13,0,(G13-F13))</f>
        <v>5695169.591735002</v>
      </c>
      <c r="I13" s="26">
        <f>MAX(F13,G13)</f>
        <v>29655827</v>
      </c>
      <c r="J13" s="24"/>
      <c r="K13" s="24"/>
      <c r="L13" s="26"/>
      <c r="M13" s="24"/>
    </row>
    <row r="14" spans="1:13" ht="12.75">
      <c r="A14" s="24" t="s">
        <v>3</v>
      </c>
      <c r="B14" s="26">
        <v>59773</v>
      </c>
      <c r="C14" s="26">
        <f>+B14*2659</f>
        <v>158936407</v>
      </c>
      <c r="D14" s="309">
        <v>187071.01683717655</v>
      </c>
      <c r="E14" s="26">
        <v>301957997</v>
      </c>
      <c r="F14" s="26">
        <f>E14*0.775377</f>
        <v>234131285.839869</v>
      </c>
      <c r="G14" s="26">
        <v>120791669</v>
      </c>
      <c r="H14" s="56">
        <f>IF(F14&gt;G14,0,(G14-F14))</f>
        <v>0</v>
      </c>
      <c r="I14" s="26">
        <f>MAX(F14,G14)</f>
        <v>234131285.839869</v>
      </c>
      <c r="J14" s="24"/>
      <c r="K14" s="24"/>
      <c r="L14" s="26"/>
      <c r="M14" s="24"/>
    </row>
    <row r="15" spans="1:13" ht="12.75">
      <c r="A15" s="24" t="s">
        <v>4</v>
      </c>
      <c r="B15" s="26">
        <v>33993</v>
      </c>
      <c r="C15" s="26">
        <f>+B15*2659</f>
        <v>90387387</v>
      </c>
      <c r="D15" s="309">
        <v>368029.609541451</v>
      </c>
      <c r="E15" s="26">
        <v>87287941</v>
      </c>
      <c r="F15" s="26">
        <f>E15*0.775377</f>
        <v>67681061.828757</v>
      </c>
      <c r="G15" s="26">
        <v>68694414</v>
      </c>
      <c r="H15" s="56">
        <f>IF(F15&gt;G15,0,(G15-F15))</f>
        <v>1013352.171242997</v>
      </c>
      <c r="I15" s="26">
        <f>MAX(F15,G15)</f>
        <v>68694414</v>
      </c>
      <c r="J15" s="24"/>
      <c r="K15" s="24"/>
      <c r="L15" s="26"/>
      <c r="M15" s="24"/>
    </row>
    <row r="16" spans="1:13" ht="12.75">
      <c r="A16" s="24" t="s">
        <v>5</v>
      </c>
      <c r="B16" s="26">
        <v>2235</v>
      </c>
      <c r="C16" s="26">
        <f>+B16*2659</f>
        <v>5942865</v>
      </c>
      <c r="D16" s="309">
        <v>311941.3034612368</v>
      </c>
      <c r="E16" s="26">
        <v>6771003</v>
      </c>
      <c r="F16" s="26">
        <f>E16*0.775377</f>
        <v>5250079.993131</v>
      </c>
      <c r="G16" s="26">
        <v>4516577</v>
      </c>
      <c r="H16" s="56">
        <f>IF(F16&gt;G16,0,(G16-F16))</f>
        <v>0</v>
      </c>
      <c r="I16" s="26">
        <f>MAX(F16,G16)</f>
        <v>5250079.993131</v>
      </c>
      <c r="J16" s="24"/>
      <c r="K16" s="24"/>
      <c r="L16" s="26"/>
      <c r="M16" s="24"/>
    </row>
    <row r="17" spans="1:13" ht="12.75">
      <c r="A17" s="24"/>
      <c r="B17" s="26"/>
      <c r="C17" s="26"/>
      <c r="E17" s="26"/>
      <c r="F17" s="26"/>
      <c r="G17" s="26"/>
      <c r="H17" s="26"/>
      <c r="I17" s="26"/>
      <c r="J17" s="24"/>
      <c r="K17" s="24"/>
      <c r="L17" s="26"/>
      <c r="M17" s="24"/>
    </row>
    <row r="18" spans="1:13" ht="12.75">
      <c r="A18" s="24" t="s">
        <v>6</v>
      </c>
      <c r="B18" s="26">
        <v>2282</v>
      </c>
      <c r="C18" s="26">
        <f>+B18*2659</f>
        <v>6067838</v>
      </c>
      <c r="D18" s="309">
        <v>206624.65004357876</v>
      </c>
      <c r="E18" s="26">
        <v>10437122</v>
      </c>
      <c r="F18" s="26">
        <f>E18*0.775377</f>
        <v>8092704.344994</v>
      </c>
      <c r="G18" s="26">
        <v>4611557</v>
      </c>
      <c r="H18" s="56">
        <f>IF(F18&gt;G18,0,(G18-F18))</f>
        <v>0</v>
      </c>
      <c r="I18" s="26">
        <f>MAX(F18,G18)</f>
        <v>8092704.344994</v>
      </c>
      <c r="J18" s="24"/>
      <c r="K18" s="24"/>
      <c r="L18" s="26"/>
      <c r="M18" s="24"/>
    </row>
    <row r="19" spans="1:13" ht="12.75">
      <c r="A19" s="24" t="s">
        <v>7</v>
      </c>
      <c r="B19" s="26">
        <v>2843</v>
      </c>
      <c r="C19" s="26">
        <f>+B19*2659</f>
        <v>7559537</v>
      </c>
      <c r="D19" s="309">
        <v>300918.0505233971</v>
      </c>
      <c r="E19" s="26">
        <v>8928462</v>
      </c>
      <c r="F19" s="26">
        <f>E19*0.775377</f>
        <v>6922924.080174</v>
      </c>
      <c r="G19" s="26">
        <v>5745248</v>
      </c>
      <c r="H19" s="56">
        <f>IF(F19&gt;G19,0,(G19-F19))</f>
        <v>0</v>
      </c>
      <c r="I19" s="26">
        <f>MAX(F19,G19)</f>
        <v>6922924.080174</v>
      </c>
      <c r="J19" s="24"/>
      <c r="K19" s="24"/>
      <c r="L19" s="26"/>
      <c r="M19" s="24"/>
    </row>
    <row r="20" spans="1:13" ht="12.75">
      <c r="A20" s="24" t="s">
        <v>8</v>
      </c>
      <c r="B20" s="26">
        <v>4203</v>
      </c>
      <c r="C20" s="26">
        <f>+B20*2659</f>
        <v>11175777</v>
      </c>
      <c r="D20" s="309">
        <v>265314.96779661014</v>
      </c>
      <c r="E20" s="26">
        <v>14970820</v>
      </c>
      <c r="F20" s="26">
        <f>E20*0.775377</f>
        <v>11608029.49914</v>
      </c>
      <c r="G20" s="26">
        <v>8493591</v>
      </c>
      <c r="H20" s="56">
        <f>IF(F20&gt;G20,0,(G20-F20))</f>
        <v>0</v>
      </c>
      <c r="I20" s="26">
        <f>MAX(F20,G20)</f>
        <v>11608029.49914</v>
      </c>
      <c r="J20" s="24"/>
      <c r="K20" s="24"/>
      <c r="L20" s="26"/>
      <c r="M20" s="24"/>
    </row>
    <row r="21" spans="1:13" ht="12.75">
      <c r="A21" s="24" t="s">
        <v>9</v>
      </c>
      <c r="B21" s="26">
        <v>6211</v>
      </c>
      <c r="C21" s="26">
        <f>+B21*2659</f>
        <v>16515049</v>
      </c>
      <c r="D21" s="309">
        <v>273726.62218986114</v>
      </c>
      <c r="E21" s="26">
        <v>21443312</v>
      </c>
      <c r="F21" s="26">
        <f>E21*0.775377</f>
        <v>16626650.928624</v>
      </c>
      <c r="G21" s="26">
        <v>12551437</v>
      </c>
      <c r="H21" s="56">
        <f>IF(F21&gt;G21,0,(G21-F21))</f>
        <v>0</v>
      </c>
      <c r="I21" s="26">
        <f>MAX(F21,G21)</f>
        <v>16626650.928624</v>
      </c>
      <c r="J21" s="24"/>
      <c r="K21" s="24"/>
      <c r="L21" s="26"/>
      <c r="M21" s="24"/>
    </row>
    <row r="22" spans="1:13" ht="12.75">
      <c r="A22" s="24" t="s">
        <v>10</v>
      </c>
      <c r="B22" s="26">
        <v>2180</v>
      </c>
      <c r="C22" s="26">
        <f>+B22*2659</f>
        <v>5796620</v>
      </c>
      <c r="D22" s="309">
        <v>285298.97200290405</v>
      </c>
      <c r="E22" s="26">
        <v>7221114</v>
      </c>
      <c r="F22" s="26">
        <f>E22*0.775377</f>
        <v>5599085.709978</v>
      </c>
      <c r="G22" s="26">
        <v>4405431</v>
      </c>
      <c r="H22" s="56">
        <f>IF(F22&gt;G22,0,(G22-F22))</f>
        <v>0</v>
      </c>
      <c r="I22" s="26">
        <f>MAX(F22,G22)</f>
        <v>5599085.709978</v>
      </c>
      <c r="J22" s="24"/>
      <c r="K22" s="24"/>
      <c r="L22" s="26"/>
      <c r="M22" s="24"/>
    </row>
    <row r="23" spans="1:13" ht="12.75">
      <c r="A23" s="24"/>
      <c r="B23" s="26"/>
      <c r="C23" s="26"/>
      <c r="D23" s="309"/>
      <c r="E23" s="26"/>
      <c r="F23" s="26"/>
      <c r="G23" s="26"/>
      <c r="H23" s="26"/>
      <c r="I23" s="26"/>
      <c r="J23" s="24"/>
      <c r="K23" s="24"/>
      <c r="L23" s="26"/>
      <c r="M23" s="24"/>
    </row>
    <row r="24" spans="1:13" ht="12.75">
      <c r="A24" s="24" t="s">
        <v>11</v>
      </c>
      <c r="B24" s="26">
        <v>5514</v>
      </c>
      <c r="C24" s="26">
        <f>+B24*2659</f>
        <v>14661726</v>
      </c>
      <c r="D24" s="309">
        <v>311468.16823108436</v>
      </c>
      <c r="E24" s="26">
        <v>16730207</v>
      </c>
      <c r="F24" s="26">
        <f>E24*0.775377</f>
        <v>12972217.713039</v>
      </c>
      <c r="G24" s="26">
        <v>11142912</v>
      </c>
      <c r="H24" s="56">
        <f>IF(F24&gt;G24,0,(G24-F24))</f>
        <v>0</v>
      </c>
      <c r="I24" s="26">
        <f>MAX(F24,G24)</f>
        <v>12972217.713039</v>
      </c>
      <c r="J24" s="24"/>
      <c r="K24" s="24"/>
      <c r="L24" s="26"/>
      <c r="M24" s="24"/>
    </row>
    <row r="25" spans="1:13" ht="12.75">
      <c r="A25" s="24" t="s">
        <v>12</v>
      </c>
      <c r="B25" s="26">
        <v>1876</v>
      </c>
      <c r="C25" s="26">
        <f>+B25*2659</f>
        <v>4988284</v>
      </c>
      <c r="D25" s="309">
        <v>330408.5307641778</v>
      </c>
      <c r="E25" s="26">
        <v>5365732</v>
      </c>
      <c r="F25" s="26">
        <f>E25*0.775377</f>
        <v>4160465.180964</v>
      </c>
      <c r="G25" s="26">
        <v>3791096</v>
      </c>
      <c r="H25" s="56">
        <f>IF(F25&gt;G25,0,(G25-F25))</f>
        <v>0</v>
      </c>
      <c r="I25" s="26">
        <f>MAX(F25,G25)</f>
        <v>4160465.180964</v>
      </c>
      <c r="J25" s="24"/>
      <c r="K25" s="24"/>
      <c r="L25" s="26"/>
      <c r="M25" s="24"/>
    </row>
    <row r="26" spans="1:13" ht="12.75">
      <c r="A26" s="24" t="s">
        <v>13</v>
      </c>
      <c r="B26" s="26">
        <v>7767</v>
      </c>
      <c r="C26" s="26">
        <f>+B26*2659</f>
        <v>20652453</v>
      </c>
      <c r="D26" s="309">
        <v>292689.8218121235</v>
      </c>
      <c r="E26" s="26">
        <v>25078028</v>
      </c>
      <c r="F26" s="26">
        <f>E26*0.775377</f>
        <v>19444926.116556</v>
      </c>
      <c r="G26" s="26">
        <v>15695864</v>
      </c>
      <c r="H26" s="56">
        <f>IF(F26&gt;G26,0,(G26-F26))</f>
        <v>0</v>
      </c>
      <c r="I26" s="26">
        <f>MAX(F26,G26)</f>
        <v>19444926.116556</v>
      </c>
      <c r="J26" s="24"/>
      <c r="K26" s="24"/>
      <c r="L26" s="26"/>
      <c r="M26" s="24"/>
    </row>
    <row r="27" spans="1:13" ht="12.75">
      <c r="A27" s="24" t="s">
        <v>14</v>
      </c>
      <c r="B27" s="26">
        <v>5172</v>
      </c>
      <c r="C27" s="26">
        <f>+B27*2659</f>
        <v>13752348</v>
      </c>
      <c r="D27" s="309">
        <v>415092.94797651324</v>
      </c>
      <c r="E27" s="26">
        <v>11775004</v>
      </c>
      <c r="F27" s="26">
        <f>E27*0.775377</f>
        <v>9130067.276508</v>
      </c>
      <c r="G27" s="26">
        <v>10451784</v>
      </c>
      <c r="H27" s="56">
        <f>IF(F27&gt;G27,0,(G27-F27))</f>
        <v>1321716.7234920003</v>
      </c>
      <c r="I27" s="26">
        <f>MAX(F27,G27)</f>
        <v>10451784</v>
      </c>
      <c r="J27" s="24"/>
      <c r="K27" s="24"/>
      <c r="L27" s="26"/>
      <c r="M27" s="24"/>
    </row>
    <row r="28" spans="1:13" ht="12.75">
      <c r="A28" s="24" t="s">
        <v>15</v>
      </c>
      <c r="B28" s="26">
        <v>915</v>
      </c>
      <c r="C28" s="26">
        <f>+B28*2659</f>
        <v>2432985</v>
      </c>
      <c r="D28" s="309">
        <v>469597.584714267</v>
      </c>
      <c r="E28" s="26">
        <v>1841377</v>
      </c>
      <c r="F28" s="26">
        <f>E28*0.775377</f>
        <v>1427761.374129</v>
      </c>
      <c r="G28" s="26">
        <v>1849069</v>
      </c>
      <c r="H28" s="56">
        <f>IF(F28&gt;G28,0,(G28-F28))</f>
        <v>421307.6258710001</v>
      </c>
      <c r="I28" s="26">
        <f>MAX(F28,G28)</f>
        <v>1849069</v>
      </c>
      <c r="J28" s="24"/>
      <c r="K28" s="24"/>
      <c r="L28" s="26"/>
      <c r="M28" s="24"/>
    </row>
    <row r="29" spans="1:13" ht="12.75">
      <c r="A29" s="24"/>
      <c r="B29" s="26"/>
      <c r="C29" s="26"/>
      <c r="D29" s="309"/>
      <c r="E29" s="26"/>
      <c r="F29" s="26"/>
      <c r="G29" s="26"/>
      <c r="H29" s="26"/>
      <c r="I29" s="26"/>
      <c r="J29" s="24"/>
      <c r="K29" s="24"/>
      <c r="L29" s="26"/>
      <c r="M29" s="24"/>
    </row>
    <row r="30" spans="1:13" ht="12.75">
      <c r="A30" s="24" t="s">
        <v>16</v>
      </c>
      <c r="B30" s="26">
        <v>28763</v>
      </c>
      <c r="C30" s="26">
        <f>+B30*2659</f>
        <v>76480817</v>
      </c>
      <c r="D30" s="309">
        <v>553347.4950144843</v>
      </c>
      <c r="E30" s="26">
        <v>49122968</v>
      </c>
      <c r="F30" s="26">
        <f>E30*0.775377</f>
        <v>38088819.558936</v>
      </c>
      <c r="G30" s="26">
        <v>58125421</v>
      </c>
      <c r="H30" s="56">
        <f>IF(F30&gt;G30,0,(G30-F30))</f>
        <v>20036601.441064</v>
      </c>
      <c r="I30" s="26">
        <f>MAX(F30,G30)</f>
        <v>58125421</v>
      </c>
      <c r="J30" s="24"/>
      <c r="K30" s="24"/>
      <c r="L30" s="26"/>
      <c r="M30" s="24"/>
    </row>
    <row r="31" spans="1:13" ht="12.75">
      <c r="A31" s="24" t="s">
        <v>17</v>
      </c>
      <c r="B31" s="26">
        <v>55179</v>
      </c>
      <c r="C31" s="26">
        <f>+B31*2659</f>
        <v>146720961</v>
      </c>
      <c r="D31" s="309">
        <v>262372.4770061988</v>
      </c>
      <c r="E31" s="26">
        <v>198748700</v>
      </c>
      <c r="F31" s="26">
        <f>E31*0.775377</f>
        <v>154105170.7599</v>
      </c>
      <c r="G31" s="26">
        <v>111507930</v>
      </c>
      <c r="H31" s="56">
        <f>IF(F31&gt;G31,0,(G31-F31))</f>
        <v>0</v>
      </c>
      <c r="I31" s="26">
        <f>MAX(F31,G31)</f>
        <v>154105170.7599</v>
      </c>
      <c r="J31" s="24"/>
      <c r="K31" s="24"/>
      <c r="L31" s="26"/>
      <c r="M31" s="24"/>
    </row>
    <row r="32" spans="1:13" ht="12.75">
      <c r="A32" s="24" t="s">
        <v>18</v>
      </c>
      <c r="B32" s="26">
        <v>1074</v>
      </c>
      <c r="C32" s="26">
        <f>+B32*2659</f>
        <v>2855766</v>
      </c>
      <c r="D32" s="309">
        <v>408597.2766914219</v>
      </c>
      <c r="E32" s="26">
        <v>2484031</v>
      </c>
      <c r="F32" s="26">
        <f>E32*0.775377</f>
        <v>1926060.504687</v>
      </c>
      <c r="G32" s="26">
        <v>2170382</v>
      </c>
      <c r="H32" s="56">
        <f>IF(F32&gt;G32,0,(G32-F32))</f>
        <v>244321.49531299993</v>
      </c>
      <c r="I32" s="26">
        <f>MAX(F32,G32)</f>
        <v>2170382</v>
      </c>
      <c r="J32" s="24"/>
      <c r="K32" s="24"/>
      <c r="L32" s="26"/>
      <c r="M32" s="24"/>
    </row>
    <row r="33" spans="1:13" ht="12.75">
      <c r="A33" s="24" t="s">
        <v>19</v>
      </c>
      <c r="B33" s="26">
        <v>3438</v>
      </c>
      <c r="C33" s="26">
        <f>+B33*2659</f>
        <v>9141642</v>
      </c>
      <c r="D33" s="309">
        <v>281434.7436446798</v>
      </c>
      <c r="E33" s="26">
        <v>11544517</v>
      </c>
      <c r="F33" s="26">
        <f>E33*0.775377</f>
        <v>8951352.957909</v>
      </c>
      <c r="G33" s="26">
        <v>6947648</v>
      </c>
      <c r="H33" s="56">
        <f>IF(F33&gt;G33,0,(G33-F33))</f>
        <v>0</v>
      </c>
      <c r="I33" s="26">
        <f>MAX(F33,G33)</f>
        <v>8951352.957909</v>
      </c>
      <c r="J33" s="24"/>
      <c r="K33" s="24"/>
      <c r="L33" s="26"/>
      <c r="M33" s="24"/>
    </row>
    <row r="34" spans="1:13" ht="12.75">
      <c r="A34" s="24" t="s">
        <v>20</v>
      </c>
      <c r="B34" s="26">
        <v>1593</v>
      </c>
      <c r="C34" s="26">
        <f>+B34*2659</f>
        <v>4235787</v>
      </c>
      <c r="D34" s="309">
        <v>211073.41210901775</v>
      </c>
      <c r="E34" s="26">
        <v>7132325</v>
      </c>
      <c r="F34" s="26">
        <f>E34*0.775377</f>
        <v>5530240.7615249995</v>
      </c>
      <c r="G34" s="26">
        <v>3219198</v>
      </c>
      <c r="H34" s="56">
        <f>IF(F34&gt;G34,0,(G34-F34))</f>
        <v>0</v>
      </c>
      <c r="I34" s="26">
        <f>MAX(F34,G34)</f>
        <v>5530240.7615249995</v>
      </c>
      <c r="J34" s="24"/>
      <c r="K34" s="24"/>
      <c r="L34" s="26"/>
      <c r="M34" s="24"/>
    </row>
    <row r="35" spans="1:13" ht="12.75">
      <c r="A35" s="24"/>
      <c r="B35" s="26"/>
      <c r="C35" s="26"/>
      <c r="D35" s="309"/>
      <c r="E35" s="26"/>
      <c r="F35" s="26"/>
      <c r="G35" s="26"/>
      <c r="H35" s="26"/>
      <c r="I35" s="26"/>
      <c r="J35" s="24"/>
      <c r="K35" s="24"/>
      <c r="L35" s="26"/>
      <c r="M35" s="24"/>
    </row>
    <row r="36" spans="1:13" ht="12.75">
      <c r="A36" s="24" t="s">
        <v>21</v>
      </c>
      <c r="B36" s="26">
        <v>1167</v>
      </c>
      <c r="C36" s="26">
        <f>+B36*2659</f>
        <v>3103053</v>
      </c>
      <c r="D36" s="309">
        <v>745743.7226919333</v>
      </c>
      <c r="E36" s="26">
        <v>1478867</v>
      </c>
      <c r="F36" s="26">
        <f>E36*0.775377</f>
        <v>1146679.457859</v>
      </c>
      <c r="G36" s="26">
        <v>2358320</v>
      </c>
      <c r="H36" s="56">
        <f>IF(F36&gt;G36,0,(G36-F36))</f>
        <v>1211640.542141</v>
      </c>
      <c r="I36" s="26">
        <f>MAX(F36,G36)</f>
        <v>2358320</v>
      </c>
      <c r="J36" s="24"/>
      <c r="K36" s="24"/>
      <c r="L36" s="26"/>
      <c r="M36" s="24"/>
    </row>
    <row r="37" spans="1:13" ht="12.75">
      <c r="A37" s="24" t="s">
        <v>22</v>
      </c>
      <c r="B37" s="26">
        <v>7222</v>
      </c>
      <c r="C37" s="26">
        <f>+B37*2659</f>
        <v>19203298</v>
      </c>
      <c r="D37" s="309">
        <v>272680.06561058364</v>
      </c>
      <c r="E37" s="26">
        <v>25029500</v>
      </c>
      <c r="F37" s="26">
        <f>E37*0.775377</f>
        <v>19407298.6215</v>
      </c>
      <c r="G37" s="26">
        <v>14594506</v>
      </c>
      <c r="H37" s="56">
        <f>IF(F37&gt;G37,0,(G37-F37))</f>
        <v>0</v>
      </c>
      <c r="I37" s="26">
        <f>MAX(F37,G37)</f>
        <v>19407298.6215</v>
      </c>
      <c r="J37" s="24"/>
      <c r="K37" s="24"/>
      <c r="L37" s="26"/>
      <c r="M37" s="24"/>
    </row>
    <row r="38" spans="1:13" ht="12.75">
      <c r="A38" s="24" t="s">
        <v>23</v>
      </c>
      <c r="B38" s="26">
        <v>6551</v>
      </c>
      <c r="C38" s="26">
        <f>+B38*2659</f>
        <v>17419109</v>
      </c>
      <c r="D38" s="309">
        <v>236758.003063852</v>
      </c>
      <c r="E38" s="26">
        <v>26148748</v>
      </c>
      <c r="F38" s="26">
        <f>E38*0.775377</f>
        <v>20275137.777996</v>
      </c>
      <c r="G38" s="26">
        <v>13238523</v>
      </c>
      <c r="H38" s="56">
        <f>IF(F38&gt;G38,0,(G38-F38))</f>
        <v>0</v>
      </c>
      <c r="I38" s="26">
        <f>MAX(F38,G38)</f>
        <v>20275137.777996</v>
      </c>
      <c r="J38" s="24"/>
      <c r="K38" s="24"/>
      <c r="L38" s="26"/>
      <c r="M38" s="24"/>
    </row>
    <row r="39" spans="1:13" ht="12.75">
      <c r="A39" s="32" t="s">
        <v>24</v>
      </c>
      <c r="B39" s="29">
        <v>2085</v>
      </c>
      <c r="C39" s="29">
        <f>+B39*2659</f>
        <v>5544015</v>
      </c>
      <c r="D39" s="328">
        <v>879125.9313259212</v>
      </c>
      <c r="E39" s="29">
        <v>2241315</v>
      </c>
      <c r="F39" s="29">
        <f>E39*0.775377</f>
        <v>1737864.100755</v>
      </c>
      <c r="G39" s="29">
        <v>4213451</v>
      </c>
      <c r="H39" s="190">
        <f>IF(F39&gt;G39,0,(G39-F39))</f>
        <v>2475586.899245</v>
      </c>
      <c r="I39" s="29">
        <f>MAX(F39,G39)</f>
        <v>4213451</v>
      </c>
      <c r="J39" s="24"/>
      <c r="K39" s="24"/>
      <c r="L39" s="26"/>
      <c r="M39" s="24"/>
    </row>
    <row r="40" spans="1:13" ht="12.75">
      <c r="A40" s="34"/>
      <c r="B40" s="34"/>
      <c r="C40" s="34"/>
      <c r="D40" s="371"/>
      <c r="E40" s="34"/>
      <c r="F40" s="34"/>
      <c r="G40" s="34"/>
      <c r="H40" s="34"/>
      <c r="I40" s="34"/>
      <c r="J40" s="24"/>
      <c r="K40" s="24"/>
      <c r="L40" s="26"/>
      <c r="M40" s="24"/>
    </row>
    <row r="41" spans="1:13" ht="12.75">
      <c r="A41" s="24" t="s">
        <v>103</v>
      </c>
      <c r="B41" s="26"/>
      <c r="C41" s="26"/>
      <c r="D41" s="309"/>
      <c r="E41" s="26"/>
      <c r="F41" s="26"/>
      <c r="G41" s="26"/>
      <c r="H41" s="26"/>
      <c r="I41" s="26"/>
      <c r="J41" s="24"/>
      <c r="K41" s="24"/>
      <c r="L41" s="26"/>
      <c r="M41" s="24"/>
    </row>
    <row r="42" spans="1:13" ht="12.75">
      <c r="A42" s="24"/>
      <c r="B42" s="26"/>
      <c r="C42" s="26"/>
      <c r="D42" s="309"/>
      <c r="E42" s="26"/>
      <c r="F42" s="26"/>
      <c r="G42" s="26"/>
      <c r="H42" s="26"/>
      <c r="I42" s="26"/>
      <c r="J42" s="24"/>
      <c r="K42" s="24"/>
      <c r="L42" s="26"/>
      <c r="M42" s="24"/>
    </row>
    <row r="43" spans="1:13" ht="12.75">
      <c r="A43" s="24" t="s">
        <v>254</v>
      </c>
      <c r="B43" s="26"/>
      <c r="C43" s="26"/>
      <c r="D43" s="309"/>
      <c r="E43" s="26"/>
      <c r="F43" s="26"/>
      <c r="G43" s="26"/>
      <c r="H43" s="26"/>
      <c r="I43" s="26"/>
      <c r="J43" s="24"/>
      <c r="K43" s="24"/>
      <c r="L43" s="26"/>
      <c r="M43" s="24"/>
    </row>
    <row r="44" spans="1:13" ht="12.75">
      <c r="A44" s="24"/>
      <c r="B44" s="26"/>
      <c r="C44" s="26"/>
      <c r="D44" s="309"/>
      <c r="E44" s="26"/>
      <c r="F44" s="26"/>
      <c r="G44" s="26"/>
      <c r="H44" s="26"/>
      <c r="I44" s="26"/>
      <c r="J44" s="24"/>
      <c r="K44" s="24"/>
      <c r="L44" s="26"/>
      <c r="M44" s="24"/>
    </row>
    <row r="45" spans="1:13" ht="12.75">
      <c r="A45" s="24"/>
      <c r="B45" s="26"/>
      <c r="C45" s="26"/>
      <c r="D45" s="309"/>
      <c r="E45" s="26"/>
      <c r="F45" s="26"/>
      <c r="G45" s="26"/>
      <c r="H45" s="26"/>
      <c r="I45" s="26"/>
      <c r="J45" s="24"/>
      <c r="K45" s="24"/>
      <c r="L45" s="24"/>
      <c r="M45" s="24"/>
    </row>
    <row r="46" spans="1:13" ht="12.75">
      <c r="A46" s="24"/>
      <c r="B46" s="26"/>
      <c r="C46" s="26"/>
      <c r="D46" s="309"/>
      <c r="E46" s="26"/>
      <c r="F46" s="26"/>
      <c r="G46" s="26"/>
      <c r="H46" s="26"/>
      <c r="I46" s="26"/>
      <c r="J46" s="24"/>
      <c r="K46" s="24"/>
      <c r="L46" s="24"/>
      <c r="M46" s="24"/>
    </row>
    <row r="47" spans="1:13" ht="12.75">
      <c r="A47" s="24"/>
      <c r="B47" s="26"/>
      <c r="C47" s="26"/>
      <c r="D47" s="309"/>
      <c r="E47" s="26"/>
      <c r="F47" s="26"/>
      <c r="G47" s="26"/>
      <c r="H47" s="26"/>
      <c r="I47" s="26"/>
      <c r="J47" s="24"/>
      <c r="K47" s="24"/>
      <c r="L47" s="24"/>
      <c r="M47" s="24"/>
    </row>
    <row r="48" spans="1:13" ht="12.75">
      <c r="A48" s="24"/>
      <c r="B48" s="26"/>
      <c r="C48" s="26"/>
      <c r="D48" s="309"/>
      <c r="E48" s="26"/>
      <c r="F48" s="26"/>
      <c r="G48" s="26"/>
      <c r="H48" s="26"/>
      <c r="I48" s="26"/>
      <c r="J48" s="24"/>
      <c r="K48" s="24"/>
      <c r="L48" s="24"/>
      <c r="M48" s="24"/>
    </row>
    <row r="49" spans="1:13" ht="12.75">
      <c r="A49" s="24"/>
      <c r="B49" s="26"/>
      <c r="C49" s="26"/>
      <c r="D49" s="309"/>
      <c r="E49" s="26"/>
      <c r="F49" s="26"/>
      <c r="G49" s="26"/>
      <c r="H49" s="26"/>
      <c r="I49" s="26"/>
      <c r="J49" s="24"/>
      <c r="K49" s="24"/>
      <c r="L49" s="24"/>
      <c r="M49" s="24"/>
    </row>
    <row r="50" spans="1:13" ht="12.75">
      <c r="A50" s="24"/>
      <c r="B50" s="26"/>
      <c r="C50" s="26"/>
      <c r="D50" s="309"/>
      <c r="E50" s="26"/>
      <c r="F50" s="26"/>
      <c r="G50" s="26"/>
      <c r="H50" s="26"/>
      <c r="I50" s="26"/>
      <c r="J50" s="24"/>
      <c r="K50" s="24"/>
      <c r="L50" s="24"/>
      <c r="M50" s="24"/>
    </row>
    <row r="51" spans="1:13" ht="12.75">
      <c r="A51" s="24"/>
      <c r="B51" s="26"/>
      <c r="C51" s="26"/>
      <c r="D51" s="309"/>
      <c r="E51" s="26"/>
      <c r="F51" s="26"/>
      <c r="G51" s="26"/>
      <c r="H51" s="26"/>
      <c r="I51" s="26"/>
      <c r="J51" s="24"/>
      <c r="K51" s="24"/>
      <c r="L51" s="24"/>
      <c r="M51" s="24"/>
    </row>
    <row r="52" spans="1:13" ht="12.75">
      <c r="A52" s="24"/>
      <c r="B52" s="26"/>
      <c r="C52" s="26"/>
      <c r="D52" s="309"/>
      <c r="E52" s="26"/>
      <c r="F52" s="26"/>
      <c r="G52" s="26"/>
      <c r="H52" s="26"/>
      <c r="I52" s="26"/>
      <c r="J52" s="24"/>
      <c r="K52" s="24"/>
      <c r="L52" s="24"/>
      <c r="M52" s="24"/>
    </row>
    <row r="53" spans="1:13" ht="12.75">
      <c r="A53" s="24"/>
      <c r="B53" s="26"/>
      <c r="C53" s="26"/>
      <c r="D53" s="309"/>
      <c r="E53" s="26"/>
      <c r="F53" s="26"/>
      <c r="G53" s="26"/>
      <c r="H53" s="26"/>
      <c r="I53" s="26"/>
      <c r="J53" s="24"/>
      <c r="K53" s="24"/>
      <c r="L53" s="24"/>
      <c r="M53" s="24"/>
    </row>
    <row r="54" spans="1:13" ht="12.75">
      <c r="A54" s="24"/>
      <c r="B54" s="26"/>
      <c r="C54" s="26"/>
      <c r="D54" s="309"/>
      <c r="E54" s="26"/>
      <c r="F54" s="26"/>
      <c r="G54" s="26"/>
      <c r="H54" s="26"/>
      <c r="I54" s="26"/>
      <c r="J54" s="24"/>
      <c r="K54" s="24"/>
      <c r="L54" s="24"/>
      <c r="M54" s="24"/>
    </row>
    <row r="55" spans="1:13" ht="12.75">
      <c r="A55" s="24"/>
      <c r="B55" s="26"/>
      <c r="C55" s="26"/>
      <c r="D55" s="309"/>
      <c r="E55" s="26"/>
      <c r="F55" s="26"/>
      <c r="G55" s="26"/>
      <c r="H55" s="26"/>
      <c r="I55" s="26"/>
      <c r="J55" s="24"/>
      <c r="K55" s="24"/>
      <c r="L55" s="24"/>
      <c r="M55" s="24"/>
    </row>
    <row r="56" spans="1:13" ht="12.75">
      <c r="A56" s="24"/>
      <c r="B56" s="26"/>
      <c r="C56" s="26"/>
      <c r="D56" s="309"/>
      <c r="E56" s="26"/>
      <c r="F56" s="26"/>
      <c r="G56" s="26"/>
      <c r="H56" s="26"/>
      <c r="I56" s="26"/>
      <c r="J56" s="24"/>
      <c r="K56" s="24"/>
      <c r="L56" s="24"/>
      <c r="M56" s="24"/>
    </row>
    <row r="57" spans="1:13" ht="12.75">
      <c r="A57" s="24"/>
      <c r="B57" s="26"/>
      <c r="C57" s="26"/>
      <c r="D57" s="309"/>
      <c r="E57" s="26"/>
      <c r="F57" s="26"/>
      <c r="G57" s="26"/>
      <c r="H57" s="26"/>
      <c r="I57" s="26"/>
      <c r="J57" s="24"/>
      <c r="K57" s="24"/>
      <c r="L57" s="24"/>
      <c r="M57" s="24"/>
    </row>
    <row r="58" spans="1:13" ht="12.75">
      <c r="A58" s="24"/>
      <c r="B58" s="26"/>
      <c r="C58" s="26"/>
      <c r="D58" s="309"/>
      <c r="E58" s="26"/>
      <c r="F58" s="26"/>
      <c r="G58" s="26"/>
      <c r="H58" s="26"/>
      <c r="I58" s="26"/>
      <c r="J58" s="24"/>
      <c r="K58" s="24"/>
      <c r="L58" s="24"/>
      <c r="M58" s="24"/>
    </row>
    <row r="59" spans="1:13" ht="12.75">
      <c r="A59" s="24"/>
      <c r="B59" s="26"/>
      <c r="C59" s="26"/>
      <c r="D59" s="309"/>
      <c r="E59" s="26"/>
      <c r="F59" s="26"/>
      <c r="G59" s="26"/>
      <c r="H59" s="26"/>
      <c r="I59" s="26"/>
      <c r="J59" s="24"/>
      <c r="K59" s="24"/>
      <c r="L59" s="24"/>
      <c r="M59" s="24"/>
    </row>
    <row r="60" spans="1:13" ht="12.75">
      <c r="A60" s="24"/>
      <c r="B60" s="26"/>
      <c r="C60" s="26"/>
      <c r="D60" s="309"/>
      <c r="E60" s="26"/>
      <c r="F60" s="26"/>
      <c r="G60" s="26"/>
      <c r="H60" s="26"/>
      <c r="I60" s="26"/>
      <c r="J60" s="24"/>
      <c r="K60" s="24"/>
      <c r="L60" s="24"/>
      <c r="M60" s="24"/>
    </row>
    <row r="61" spans="1:13" ht="12.75">
      <c r="A61" s="24"/>
      <c r="B61" s="26"/>
      <c r="C61" s="26"/>
      <c r="D61" s="309"/>
      <c r="E61" s="26"/>
      <c r="F61" s="26"/>
      <c r="G61" s="26"/>
      <c r="H61" s="26"/>
      <c r="I61" s="26"/>
      <c r="J61" s="24"/>
      <c r="K61" s="24"/>
      <c r="L61" s="24"/>
      <c r="M61" s="24"/>
    </row>
    <row r="62" spans="1:13" ht="12.75">
      <c r="A62" s="24"/>
      <c r="B62" s="26"/>
      <c r="C62" s="26"/>
      <c r="D62" s="309"/>
      <c r="E62" s="26"/>
      <c r="F62" s="26"/>
      <c r="G62" s="26"/>
      <c r="H62" s="26"/>
      <c r="I62" s="26"/>
      <c r="J62" s="24"/>
      <c r="K62" s="24"/>
      <c r="L62" s="24"/>
      <c r="M62" s="24"/>
    </row>
    <row r="63" spans="1:13" ht="12.75">
      <c r="A63" s="24"/>
      <c r="B63" s="26"/>
      <c r="C63" s="26"/>
      <c r="D63" s="309"/>
      <c r="E63" s="26"/>
      <c r="F63" s="26"/>
      <c r="G63" s="26"/>
      <c r="H63" s="26"/>
      <c r="I63" s="26"/>
      <c r="J63" s="24"/>
      <c r="K63" s="24"/>
      <c r="L63" s="24"/>
      <c r="M63" s="24"/>
    </row>
    <row r="64" spans="1:13" ht="12.75">
      <c r="A64" s="24"/>
      <c r="B64" s="26"/>
      <c r="C64" s="26"/>
      <c r="D64" s="309"/>
      <c r="E64" s="26"/>
      <c r="F64" s="26"/>
      <c r="G64" s="26"/>
      <c r="H64" s="26"/>
      <c r="I64" s="26"/>
      <c r="J64" s="24"/>
      <c r="K64" s="24"/>
      <c r="L64" s="24"/>
      <c r="M64" s="24"/>
    </row>
    <row r="65" spans="1:13" ht="12.75">
      <c r="A65" s="24"/>
      <c r="B65" s="26"/>
      <c r="C65" s="26"/>
      <c r="D65" s="309"/>
      <c r="E65" s="26"/>
      <c r="F65" s="26"/>
      <c r="G65" s="26"/>
      <c r="H65" s="26"/>
      <c r="I65" s="26"/>
      <c r="J65" s="24"/>
      <c r="K65" s="24"/>
      <c r="L65" s="24"/>
      <c r="M65" s="24"/>
    </row>
    <row r="66" spans="1:13" ht="12.75">
      <c r="A66" s="24"/>
      <c r="B66" s="26"/>
      <c r="C66" s="26"/>
      <c r="D66" s="309"/>
      <c r="E66" s="26"/>
      <c r="F66" s="26"/>
      <c r="G66" s="26"/>
      <c r="H66" s="26"/>
      <c r="I66" s="26"/>
      <c r="J66" s="24"/>
      <c r="K66" s="24"/>
      <c r="L66" s="24"/>
      <c r="M66" s="24"/>
    </row>
    <row r="67" spans="1:13" ht="12.75">
      <c r="A67" s="24"/>
      <c r="B67" s="26"/>
      <c r="C67" s="26"/>
      <c r="D67" s="309"/>
      <c r="E67" s="26"/>
      <c r="F67" s="26"/>
      <c r="G67" s="26"/>
      <c r="H67" s="26"/>
      <c r="I67" s="26"/>
      <c r="J67" s="24"/>
      <c r="K67" s="24"/>
      <c r="L67" s="24"/>
      <c r="M67" s="24"/>
    </row>
    <row r="68" spans="1:13" ht="12.75">
      <c r="A68" s="24"/>
      <c r="B68" s="26"/>
      <c r="C68" s="26"/>
      <c r="D68" s="309"/>
      <c r="E68" s="26"/>
      <c r="F68" s="26"/>
      <c r="G68" s="26"/>
      <c r="H68" s="26"/>
      <c r="I68" s="26"/>
      <c r="J68" s="24"/>
      <c r="K68" s="24"/>
      <c r="L68" s="24"/>
      <c r="M68" s="24"/>
    </row>
    <row r="69" spans="1:13" ht="12.75">
      <c r="A69" s="24"/>
      <c r="B69" s="26"/>
      <c r="C69" s="26"/>
      <c r="D69" s="309"/>
      <c r="E69" s="26"/>
      <c r="F69" s="26"/>
      <c r="G69" s="26"/>
      <c r="H69" s="26"/>
      <c r="I69" s="26"/>
      <c r="J69" s="24"/>
      <c r="K69" s="24"/>
      <c r="L69" s="24"/>
      <c r="M69" s="24"/>
    </row>
    <row r="70" spans="1:13" ht="12.75">
      <c r="A70" s="24"/>
      <c r="B70" s="26"/>
      <c r="C70" s="26"/>
      <c r="D70" s="309"/>
      <c r="E70" s="26"/>
      <c r="F70" s="26"/>
      <c r="G70" s="26"/>
      <c r="H70" s="26"/>
      <c r="I70" s="26"/>
      <c r="J70" s="24"/>
      <c r="K70" s="24"/>
      <c r="L70" s="24"/>
      <c r="M70" s="24"/>
    </row>
    <row r="71" spans="1:13" ht="12.75">
      <c r="A71" s="24"/>
      <c r="B71" s="26"/>
      <c r="C71" s="26"/>
      <c r="D71" s="309"/>
      <c r="E71" s="26"/>
      <c r="F71" s="26"/>
      <c r="G71" s="26"/>
      <c r="H71" s="26"/>
      <c r="I71" s="26"/>
      <c r="J71" s="24"/>
      <c r="K71" s="24"/>
      <c r="L71" s="24"/>
      <c r="M71" s="24"/>
    </row>
    <row r="72" spans="2:9" ht="12.75">
      <c r="B72" s="28"/>
      <c r="C72" s="28"/>
      <c r="D72" s="359"/>
      <c r="E72" s="28"/>
      <c r="F72" s="28"/>
      <c r="G72" s="28"/>
      <c r="H72" s="28"/>
      <c r="I72" s="28"/>
    </row>
    <row r="73" spans="2:9" ht="12.75">
      <c r="B73" s="28"/>
      <c r="C73" s="28"/>
      <c r="D73" s="359"/>
      <c r="E73" s="28"/>
      <c r="F73" s="28"/>
      <c r="G73" s="28"/>
      <c r="H73" s="28"/>
      <c r="I73" s="28"/>
    </row>
    <row r="74" spans="2:9" ht="12.75">
      <c r="B74" s="28"/>
      <c r="C74" s="28"/>
      <c r="D74" s="359"/>
      <c r="E74" s="28"/>
      <c r="F74" s="28"/>
      <c r="G74" s="28"/>
      <c r="H74" s="28"/>
      <c r="I74" s="28"/>
    </row>
    <row r="75" spans="2:9" ht="12.75">
      <c r="B75" s="28"/>
      <c r="C75" s="28"/>
      <c r="D75" s="359"/>
      <c r="E75" s="28"/>
      <c r="F75" s="28"/>
      <c r="G75" s="28"/>
      <c r="H75" s="28"/>
      <c r="I75" s="28"/>
    </row>
    <row r="76" spans="2:9" ht="12.75">
      <c r="B76" s="28"/>
      <c r="C76" s="28"/>
      <c r="D76" s="359"/>
      <c r="E76" s="28"/>
      <c r="F76" s="28"/>
      <c r="G76" s="28"/>
      <c r="H76" s="28"/>
      <c r="I76" s="28"/>
    </row>
    <row r="77" spans="2:9" ht="12.75">
      <c r="B77" s="28"/>
      <c r="C77" s="28"/>
      <c r="D77" s="359"/>
      <c r="E77" s="28"/>
      <c r="F77" s="28"/>
      <c r="G77" s="28"/>
      <c r="H77" s="28"/>
      <c r="I77" s="28"/>
    </row>
    <row r="78" spans="2:9" ht="12.75">
      <c r="B78" s="28"/>
      <c r="C78" s="28"/>
      <c r="D78" s="359"/>
      <c r="E78" s="28"/>
      <c r="F78" s="28"/>
      <c r="G78" s="28"/>
      <c r="H78" s="28"/>
      <c r="I78" s="28"/>
    </row>
    <row r="79" spans="2:9" ht="12.75">
      <c r="B79" s="28"/>
      <c r="C79" s="28"/>
      <c r="D79" s="359"/>
      <c r="E79" s="28"/>
      <c r="F79" s="28"/>
      <c r="G79" s="28"/>
      <c r="H79" s="28"/>
      <c r="I79" s="28"/>
    </row>
    <row r="80" spans="2:9" ht="12.75">
      <c r="B80" s="28"/>
      <c r="C80" s="28"/>
      <c r="D80" s="359"/>
      <c r="E80" s="28"/>
      <c r="F80" s="28"/>
      <c r="G80" s="28"/>
      <c r="H80" s="28"/>
      <c r="I80" s="28"/>
    </row>
    <row r="81" spans="2:9" ht="12.75">
      <c r="B81" s="28"/>
      <c r="C81" s="28"/>
      <c r="D81" s="359"/>
      <c r="E81" s="28"/>
      <c r="F81" s="28"/>
      <c r="G81" s="28"/>
      <c r="H81" s="28"/>
      <c r="I81" s="28"/>
    </row>
    <row r="82" spans="2:9" ht="12.75">
      <c r="B82" s="28"/>
      <c r="C82" s="28"/>
      <c r="D82" s="359"/>
      <c r="E82" s="28"/>
      <c r="F82" s="28"/>
      <c r="G82" s="28"/>
      <c r="H82" s="28"/>
      <c r="I82" s="28"/>
    </row>
    <row r="83" spans="2:9" ht="12.75">
      <c r="B83" s="28"/>
      <c r="C83" s="28"/>
      <c r="D83" s="359"/>
      <c r="E83" s="28"/>
      <c r="F83" s="28"/>
      <c r="G83" s="28"/>
      <c r="H83" s="28"/>
      <c r="I83" s="28"/>
    </row>
    <row r="84" spans="2:9" ht="12.75">
      <c r="B84" s="28"/>
      <c r="C84" s="28"/>
      <c r="D84" s="359"/>
      <c r="E84" s="28"/>
      <c r="F84" s="28"/>
      <c r="G84" s="28"/>
      <c r="H84" s="28"/>
      <c r="I84" s="28"/>
    </row>
    <row r="85" spans="2:9" ht="12.75">
      <c r="B85" s="28"/>
      <c r="C85" s="28"/>
      <c r="D85" s="359"/>
      <c r="E85" s="28"/>
      <c r="F85" s="28"/>
      <c r="G85" s="28"/>
      <c r="H85" s="28"/>
      <c r="I85" s="28"/>
    </row>
    <row r="86" spans="2:9" ht="12.75">
      <c r="B86" s="28"/>
      <c r="C86" s="28"/>
      <c r="D86" s="359"/>
      <c r="E86" s="28"/>
      <c r="F86" s="28"/>
      <c r="G86" s="28"/>
      <c r="H86" s="28"/>
      <c r="I86" s="28"/>
    </row>
    <row r="87" spans="2:9" ht="12.75">
      <c r="B87" s="28"/>
      <c r="C87" s="28"/>
      <c r="D87" s="359"/>
      <c r="E87" s="28"/>
      <c r="F87" s="28"/>
      <c r="G87" s="28"/>
      <c r="H87" s="28"/>
      <c r="I87" s="28"/>
    </row>
    <row r="88" spans="2:9" ht="12.75">
      <c r="B88" s="28"/>
      <c r="C88" s="28"/>
      <c r="D88" s="359"/>
      <c r="E88" s="28"/>
      <c r="F88" s="28"/>
      <c r="G88" s="28"/>
      <c r="H88" s="28"/>
      <c r="I88" s="28"/>
    </row>
    <row r="89" spans="2:9" ht="12.75">
      <c r="B89" s="28"/>
      <c r="C89" s="28"/>
      <c r="D89" s="359"/>
      <c r="E89" s="28"/>
      <c r="F89" s="28"/>
      <c r="G89" s="28"/>
      <c r="H89" s="28"/>
      <c r="I89" s="28"/>
    </row>
    <row r="90" spans="2:9" ht="12.75">
      <c r="B90" s="28"/>
      <c r="C90" s="28"/>
      <c r="D90" s="359"/>
      <c r="E90" s="28"/>
      <c r="F90" s="28"/>
      <c r="G90" s="28"/>
      <c r="H90" s="28"/>
      <c r="I90" s="28"/>
    </row>
    <row r="91" spans="2:9" ht="12.75">
      <c r="B91" s="28"/>
      <c r="C91" s="28"/>
      <c r="D91" s="359"/>
      <c r="E91" s="28"/>
      <c r="F91" s="28"/>
      <c r="G91" s="28"/>
      <c r="H91" s="28"/>
      <c r="I91" s="28"/>
    </row>
    <row r="92" spans="2:9" ht="12.75">
      <c r="B92" s="28"/>
      <c r="C92" s="28"/>
      <c r="D92" s="359"/>
      <c r="E92" s="28"/>
      <c r="F92" s="28"/>
      <c r="G92" s="28"/>
      <c r="H92" s="28"/>
      <c r="I92" s="28"/>
    </row>
    <row r="93" spans="2:9" ht="12.75">
      <c r="B93" s="28"/>
      <c r="C93" s="28"/>
      <c r="D93" s="359"/>
      <c r="E93" s="28"/>
      <c r="F93" s="28"/>
      <c r="G93" s="28"/>
      <c r="H93" s="28"/>
      <c r="I93" s="28"/>
    </row>
    <row r="94" spans="2:9" ht="12.75">
      <c r="B94" s="28"/>
      <c r="C94" s="28"/>
      <c r="D94" s="359"/>
      <c r="E94" s="28"/>
      <c r="F94" s="28"/>
      <c r="G94" s="28"/>
      <c r="H94" s="28"/>
      <c r="I94" s="28"/>
    </row>
    <row r="95" spans="2:9" ht="12.75">
      <c r="B95" s="28"/>
      <c r="C95" s="28"/>
      <c r="D95" s="359"/>
      <c r="E95" s="28"/>
      <c r="F95" s="28"/>
      <c r="G95" s="28"/>
      <c r="H95" s="28"/>
      <c r="I95" s="28"/>
    </row>
    <row r="96" spans="2:9" ht="12.75">
      <c r="B96" s="28"/>
      <c r="C96" s="28"/>
      <c r="D96" s="359"/>
      <c r="E96" s="28"/>
      <c r="F96" s="28"/>
      <c r="G96" s="28"/>
      <c r="H96" s="28"/>
      <c r="I96" s="28"/>
    </row>
    <row r="97" spans="2:9" ht="12.75">
      <c r="B97" s="28"/>
      <c r="C97" s="28"/>
      <c r="D97" s="359"/>
      <c r="E97" s="28"/>
      <c r="F97" s="28"/>
      <c r="G97" s="28"/>
      <c r="H97" s="28"/>
      <c r="I97" s="28"/>
    </row>
    <row r="98" spans="2:9" ht="12.75">
      <c r="B98" s="28"/>
      <c r="C98" s="28"/>
      <c r="D98" s="359"/>
      <c r="E98" s="28"/>
      <c r="F98" s="28"/>
      <c r="G98" s="28"/>
      <c r="H98" s="28"/>
      <c r="I98" s="28"/>
    </row>
    <row r="99" spans="2:9" ht="12.75">
      <c r="B99" s="28"/>
      <c r="C99" s="28"/>
      <c r="D99" s="359"/>
      <c r="E99" s="28"/>
      <c r="F99" s="28"/>
      <c r="G99" s="28"/>
      <c r="H99" s="28"/>
      <c r="I99" s="28"/>
    </row>
    <row r="100" spans="2:9" ht="12.75">
      <c r="B100" s="28"/>
      <c r="C100" s="28"/>
      <c r="D100" s="359"/>
      <c r="E100" s="28"/>
      <c r="F100" s="28"/>
      <c r="G100" s="28"/>
      <c r="H100" s="28"/>
      <c r="I100" s="28"/>
    </row>
    <row r="101" spans="2:9" ht="12.75">
      <c r="B101" s="28"/>
      <c r="C101" s="28"/>
      <c r="D101" s="359"/>
      <c r="E101" s="28"/>
      <c r="F101" s="28"/>
      <c r="G101" s="28"/>
      <c r="H101" s="28"/>
      <c r="I101" s="28"/>
    </row>
    <row r="102" spans="2:9" ht="12.75">
      <c r="B102" s="28"/>
      <c r="C102" s="28"/>
      <c r="D102" s="359"/>
      <c r="E102" s="28"/>
      <c r="F102" s="28"/>
      <c r="G102" s="28"/>
      <c r="H102" s="28"/>
      <c r="I102" s="28"/>
    </row>
    <row r="103" spans="2:9" ht="12.75">
      <c r="B103" s="28"/>
      <c r="C103" s="28"/>
      <c r="D103" s="359"/>
      <c r="E103" s="28"/>
      <c r="F103" s="28"/>
      <c r="G103" s="28"/>
      <c r="H103" s="28"/>
      <c r="I103" s="28"/>
    </row>
    <row r="104" spans="2:9" ht="12.75">
      <c r="B104" s="28"/>
      <c r="C104" s="28"/>
      <c r="D104" s="359"/>
      <c r="E104" s="28"/>
      <c r="F104" s="28"/>
      <c r="G104" s="28"/>
      <c r="H104" s="28"/>
      <c r="I104" s="28"/>
    </row>
    <row r="105" spans="2:9" ht="12.75">
      <c r="B105" s="28"/>
      <c r="C105" s="28"/>
      <c r="D105" s="359"/>
      <c r="E105" s="28"/>
      <c r="F105" s="28"/>
      <c r="G105" s="28"/>
      <c r="H105" s="28"/>
      <c r="I105" s="28"/>
    </row>
    <row r="106" spans="2:9" ht="12.75">
      <c r="B106" s="28"/>
      <c r="C106" s="28"/>
      <c r="D106" s="359"/>
      <c r="E106" s="28"/>
      <c r="F106" s="28"/>
      <c r="G106" s="28"/>
      <c r="H106" s="28"/>
      <c r="I106" s="28"/>
    </row>
  </sheetData>
  <sheetProtection password="CAF5" sheet="1" objects="1" scenarios="1"/>
  <mergeCells count="8">
    <mergeCell ref="B6:B9"/>
    <mergeCell ref="F6:F9"/>
    <mergeCell ref="H6:H9"/>
    <mergeCell ref="I6:I9"/>
    <mergeCell ref="C6:C8"/>
    <mergeCell ref="D6:D8"/>
    <mergeCell ref="E6:E8"/>
    <mergeCell ref="G6:G8"/>
  </mergeCells>
  <printOptions horizontalCentered="1"/>
  <pageMargins left="0.7" right="0.75" top="0.83" bottom="0.84" header="0.67" footer="0.5"/>
  <pageSetup fitToHeight="1" fitToWidth="1" horizontalDpi="600" verticalDpi="600" orientation="landscape" scale="83" r:id="rId1"/>
  <headerFooter alignWithMargins="0">
    <oddHeader>&amp;R
</oddHeader>
    <oddFooter>&amp;L&amp;"Arial,Italic"&amp;9MSDE-DBS 10 / 2008&amp;C- 18 -&amp;R&amp;"Arial,Italic"&amp;9Selected Financial Data-Part 1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2.00390625" style="0" customWidth="1"/>
    <col min="2" max="2" width="20.8515625" style="0" customWidth="1"/>
    <col min="3" max="3" width="17.28125" style="0" customWidth="1"/>
    <col min="4" max="4" width="18.140625" style="0" customWidth="1"/>
    <col min="5" max="5" width="19.8515625" style="138" customWidth="1"/>
    <col min="6" max="6" width="22.421875" style="0" customWidth="1"/>
  </cols>
  <sheetData>
    <row r="1" spans="1:6" ht="12.75">
      <c r="A1" s="411" t="s">
        <v>115</v>
      </c>
      <c r="B1" s="411"/>
      <c r="C1" s="411"/>
      <c r="D1" s="411"/>
      <c r="E1" s="411"/>
      <c r="F1" s="411"/>
    </row>
    <row r="2" spans="1:5" ht="13.5" customHeight="1">
      <c r="A2" s="42"/>
      <c r="E2" s="33"/>
    </row>
    <row r="3" spans="1:6" ht="12.75">
      <c r="A3" s="411" t="s">
        <v>263</v>
      </c>
      <c r="B3" s="411"/>
      <c r="C3" s="411"/>
      <c r="D3" s="411"/>
      <c r="E3" s="411"/>
      <c r="F3" s="411"/>
    </row>
    <row r="4" spans="1:6" ht="13.5" thickBot="1">
      <c r="A4" s="3"/>
      <c r="B4" s="3"/>
      <c r="C4" s="3"/>
      <c r="D4" s="3"/>
      <c r="E4" s="24"/>
      <c r="F4" s="3"/>
    </row>
    <row r="5" spans="1:7" ht="15" customHeight="1" thickTop="1">
      <c r="A5" s="6"/>
      <c r="B5" s="80" t="s">
        <v>295</v>
      </c>
      <c r="C5" s="6"/>
      <c r="D5" s="6"/>
      <c r="E5" s="474" t="s">
        <v>292</v>
      </c>
      <c r="F5" s="240"/>
      <c r="G5" s="20"/>
    </row>
    <row r="6" spans="1:7" ht="12.75">
      <c r="A6" s="3" t="s">
        <v>85</v>
      </c>
      <c r="B6" s="4" t="s">
        <v>125</v>
      </c>
      <c r="C6" s="4" t="s">
        <v>110</v>
      </c>
      <c r="D6" s="4" t="s">
        <v>107</v>
      </c>
      <c r="E6" s="399"/>
      <c r="F6" s="4" t="s">
        <v>107</v>
      </c>
      <c r="G6" s="20"/>
    </row>
    <row r="7" spans="1:7" ht="12.75">
      <c r="A7" s="3" t="s">
        <v>35</v>
      </c>
      <c r="B7" s="4" t="s">
        <v>126</v>
      </c>
      <c r="C7" s="4" t="s">
        <v>111</v>
      </c>
      <c r="D7" s="4" t="s">
        <v>108</v>
      </c>
      <c r="E7" s="399"/>
      <c r="F7" s="4" t="s">
        <v>108</v>
      </c>
      <c r="G7" s="20"/>
    </row>
    <row r="8" spans="1:7" ht="13.5" thickBot="1">
      <c r="A8" s="7" t="s">
        <v>144</v>
      </c>
      <c r="B8" s="8" t="s">
        <v>109</v>
      </c>
      <c r="C8" s="8" t="s">
        <v>294</v>
      </c>
      <c r="D8" s="8" t="s">
        <v>112</v>
      </c>
      <c r="E8" s="385"/>
      <c r="F8" s="8" t="s">
        <v>113</v>
      </c>
      <c r="G8" s="20"/>
    </row>
    <row r="9" spans="1:6" ht="12.75">
      <c r="A9" s="3" t="s">
        <v>0</v>
      </c>
      <c r="B9" s="51">
        <f>SUM(B11:B38)</f>
        <v>547383443.84625</v>
      </c>
      <c r="C9" s="123">
        <f>SUM(C11:C38)</f>
        <v>836058.8597274395</v>
      </c>
      <c r="D9" s="483">
        <f>+B9*1000/C9</f>
        <v>654718.7886086161</v>
      </c>
      <c r="E9" s="65">
        <f>SUM(E11:E45)</f>
        <v>5602017</v>
      </c>
      <c r="F9" s="51">
        <f>+B9*1000/E9</f>
        <v>97711.84982948999</v>
      </c>
    </row>
    <row r="10" spans="1:6" ht="12.75">
      <c r="A10" s="3"/>
      <c r="B10" s="3"/>
      <c r="C10" s="41"/>
      <c r="D10" s="3"/>
      <c r="E10" s="67"/>
      <c r="F10" s="2"/>
    </row>
    <row r="11" spans="1:6" ht="12.75">
      <c r="A11" s="3" t="s">
        <v>1</v>
      </c>
      <c r="B11" s="2">
        <v>2926109</v>
      </c>
      <c r="C11" s="208">
        <v>9238.3</v>
      </c>
      <c r="D11" s="2">
        <f>+B11*1000/C11</f>
        <v>316736.73727850366</v>
      </c>
      <c r="E11" s="210">
        <v>72613</v>
      </c>
      <c r="F11" s="16">
        <f>+B11*1000/E11</f>
        <v>40297.31590761985</v>
      </c>
    </row>
    <row r="12" spans="1:6" ht="12.75">
      <c r="A12" s="3" t="s">
        <v>2</v>
      </c>
      <c r="B12" s="2">
        <v>60826688</v>
      </c>
      <c r="C12" s="208">
        <v>71682.51183033136</v>
      </c>
      <c r="D12" s="2">
        <f>+B12*1000/C12</f>
        <v>848556.8717789004</v>
      </c>
      <c r="E12" s="210">
        <v>510230</v>
      </c>
      <c r="F12" s="16">
        <f>+B12*1000/E12</f>
        <v>119214.25239597828</v>
      </c>
    </row>
    <row r="13" spans="1:6" ht="12.75">
      <c r="A13" s="3" t="s">
        <v>3</v>
      </c>
      <c r="B13" s="2">
        <v>25256647.87175</v>
      </c>
      <c r="C13" s="208">
        <v>81425.95</v>
      </c>
      <c r="D13" s="2">
        <f>+B13*1000/C13</f>
        <v>310179.34542673436</v>
      </c>
      <c r="E13" s="210">
        <v>640961</v>
      </c>
      <c r="F13" s="16">
        <f>+B13*1000/E13</f>
        <v>39404.34421400054</v>
      </c>
    </row>
    <row r="14" spans="1:6" ht="12.75">
      <c r="A14" s="3" t="s">
        <v>4</v>
      </c>
      <c r="B14" s="2">
        <v>62365607</v>
      </c>
      <c r="C14" s="208">
        <v>103409.89031127314</v>
      </c>
      <c r="D14" s="2">
        <f>+B14*1000/C14</f>
        <v>603091.317593258</v>
      </c>
      <c r="E14" s="210">
        <v>787762</v>
      </c>
      <c r="F14" s="16">
        <f>+B14*1000/E14</f>
        <v>79168.08249192016</v>
      </c>
    </row>
    <row r="15" spans="1:6" ht="12.75">
      <c r="A15" s="3" t="s">
        <v>5</v>
      </c>
      <c r="B15" s="2">
        <v>9742417</v>
      </c>
      <c r="C15" s="208">
        <v>17419.6</v>
      </c>
      <c r="D15" s="2">
        <f>+B15*1000/C15</f>
        <v>559279.0305173483</v>
      </c>
      <c r="E15" s="210">
        <v>87582</v>
      </c>
      <c r="F15" s="16">
        <f>+B15*1000/E15</f>
        <v>111237.66299011212</v>
      </c>
    </row>
    <row r="16" spans="1:6" ht="12.75">
      <c r="A16" s="3"/>
      <c r="B16" s="2"/>
      <c r="C16" s="208"/>
      <c r="D16" s="2"/>
      <c r="E16" s="68"/>
      <c r="F16" s="16"/>
    </row>
    <row r="17" spans="1:6" ht="12.75">
      <c r="A17" s="3" t="s">
        <v>6</v>
      </c>
      <c r="B17" s="2">
        <v>2089016</v>
      </c>
      <c r="C17" s="208">
        <v>5437.75</v>
      </c>
      <c r="D17" s="2">
        <f>+B17*1000/C17</f>
        <v>384169.1876235575</v>
      </c>
      <c r="E17" s="210">
        <v>32278</v>
      </c>
      <c r="F17" s="16">
        <f>+B17*1000/E17</f>
        <v>64719.49934940207</v>
      </c>
    </row>
    <row r="18" spans="1:6" ht="12.75">
      <c r="A18" s="3" t="s">
        <v>7</v>
      </c>
      <c r="B18" s="2">
        <v>15453866</v>
      </c>
      <c r="C18" s="208">
        <v>27805.503371089537</v>
      </c>
      <c r="D18" s="2">
        <f>+B18*1000/C18</f>
        <v>555784.4356836203</v>
      </c>
      <c r="E18" s="210">
        <v>168403</v>
      </c>
      <c r="F18" s="16">
        <f>+B18*1000/E18</f>
        <v>91767.16566807004</v>
      </c>
    </row>
    <row r="19" spans="1:6" ht="12.75">
      <c r="A19" s="3" t="s">
        <v>8</v>
      </c>
      <c r="B19" s="2">
        <v>7932003</v>
      </c>
      <c r="C19" s="208">
        <v>15928.339034205232</v>
      </c>
      <c r="D19" s="2">
        <f>+B19*1000/C19</f>
        <v>497980.54793826654</v>
      </c>
      <c r="E19" s="210">
        <v>98674</v>
      </c>
      <c r="F19" s="16">
        <f>+B19*1000/E19</f>
        <v>80385.94766605184</v>
      </c>
    </row>
    <row r="20" spans="1:6" ht="12.75">
      <c r="A20" s="3" t="s">
        <v>9</v>
      </c>
      <c r="B20" s="2">
        <v>13304605.42175</v>
      </c>
      <c r="C20" s="208">
        <v>26328.579539455164</v>
      </c>
      <c r="D20" s="2">
        <f>+B20*1000/C20</f>
        <v>505329.4045663248</v>
      </c>
      <c r="E20" s="210">
        <v>139302</v>
      </c>
      <c r="F20" s="16">
        <f>+B20*1000/E20</f>
        <v>95509.07683845171</v>
      </c>
    </row>
    <row r="21" spans="1:6" ht="12.75">
      <c r="A21" s="3" t="s">
        <v>10</v>
      </c>
      <c r="B21" s="2">
        <v>2400917</v>
      </c>
      <c r="C21" s="208">
        <v>4235.4</v>
      </c>
      <c r="D21" s="2">
        <f>+B21*1000/C21</f>
        <v>566869.0088303349</v>
      </c>
      <c r="E21" s="210">
        <v>31417</v>
      </c>
      <c r="F21" s="16">
        <f>+B21*1000/E21</f>
        <v>76420.95044084413</v>
      </c>
    </row>
    <row r="22" spans="1:6" ht="12.75">
      <c r="A22" s="3"/>
      <c r="C22" s="208"/>
      <c r="D22" s="2"/>
      <c r="E22" s="35"/>
      <c r="F22" s="16"/>
    </row>
    <row r="23" spans="1:6" ht="12.75">
      <c r="A23" s="3" t="s">
        <v>11</v>
      </c>
      <c r="B23" s="2">
        <v>22292911</v>
      </c>
      <c r="C23" s="208">
        <v>39567.72244897959</v>
      </c>
      <c r="D23" s="2">
        <f>+B23*1000/C23</f>
        <v>563411.5288982197</v>
      </c>
      <c r="E23" s="210">
        <v>221953</v>
      </c>
      <c r="F23" s="16">
        <f>+B23*1000/E23</f>
        <v>100439.78229625191</v>
      </c>
    </row>
    <row r="24" spans="1:6" ht="12.75">
      <c r="A24" s="3" t="s">
        <v>12</v>
      </c>
      <c r="B24" s="2">
        <v>3371967</v>
      </c>
      <c r="C24" s="208">
        <v>4586.7</v>
      </c>
      <c r="D24" s="2">
        <f>+B24*1000/C24</f>
        <v>735161.8810909805</v>
      </c>
      <c r="E24" s="210">
        <v>29639</v>
      </c>
      <c r="F24" s="16">
        <f>+B24*1000/E24</f>
        <v>113767.90714936401</v>
      </c>
    </row>
    <row r="25" spans="1:6" ht="12.75">
      <c r="A25" s="3" t="s">
        <v>13</v>
      </c>
      <c r="B25" s="2">
        <v>19926361</v>
      </c>
      <c r="C25" s="208">
        <v>38901.833037694014</v>
      </c>
      <c r="D25" s="2">
        <f>+B25*1000/C25</f>
        <v>512221.6472599713</v>
      </c>
      <c r="E25" s="210">
        <v>239569</v>
      </c>
      <c r="F25" s="16">
        <f>+B25*1000/E25</f>
        <v>83175.87417403754</v>
      </c>
    </row>
    <row r="26" spans="1:6" ht="12.75">
      <c r="A26" s="3" t="s">
        <v>14</v>
      </c>
      <c r="B26" s="2">
        <v>36224837</v>
      </c>
      <c r="C26" s="208">
        <v>48749.79559529465</v>
      </c>
      <c r="D26" s="2">
        <f>+B26*1000/C26</f>
        <v>743076.6951461113</v>
      </c>
      <c r="E26" s="210">
        <v>270505</v>
      </c>
      <c r="F26" s="16">
        <f>+B26*1000/E26</f>
        <v>133915.59120903496</v>
      </c>
    </row>
    <row r="27" spans="1:6" ht="12.75">
      <c r="A27" s="3" t="s">
        <v>15</v>
      </c>
      <c r="B27" s="2">
        <v>2181116</v>
      </c>
      <c r="C27" s="208">
        <v>2280.1507692307696</v>
      </c>
      <c r="D27" s="2">
        <f>+B27*1000/C27</f>
        <v>956566.5698219684</v>
      </c>
      <c r="E27" s="210">
        <v>19829</v>
      </c>
      <c r="F27" s="16">
        <f>+B27*1000/E27</f>
        <v>109996.26809218821</v>
      </c>
    </row>
    <row r="28" spans="1:6" ht="12.75">
      <c r="A28" s="3"/>
      <c r="C28" s="208"/>
      <c r="D28" s="2"/>
      <c r="E28" s="35"/>
      <c r="F28" s="16"/>
    </row>
    <row r="29" spans="1:6" ht="12.75">
      <c r="A29" s="3" t="s">
        <v>16</v>
      </c>
      <c r="B29" s="2">
        <v>145815228.236</v>
      </c>
      <c r="C29" s="208">
        <v>134973.9003799141</v>
      </c>
      <c r="D29" s="2">
        <f>+B29*1000/C29</f>
        <v>1080321.6608957034</v>
      </c>
      <c r="E29" s="210">
        <v>925327</v>
      </c>
      <c r="F29" s="16">
        <f>+B30*1000/E29</f>
        <v>67788.10499018185</v>
      </c>
    </row>
    <row r="30" spans="1:6" ht="12.75">
      <c r="A30" s="3" t="s">
        <v>17</v>
      </c>
      <c r="B30" s="2">
        <v>62726163.82625</v>
      </c>
      <c r="C30" s="208">
        <v>131153.09305802776</v>
      </c>
      <c r="D30" s="2">
        <f>+B30*1000/C30</f>
        <v>478266.75195908075</v>
      </c>
      <c r="E30" s="210">
        <v>834660</v>
      </c>
      <c r="F30" s="16">
        <f>+B30*1000/E30</f>
        <v>75151.7549975439</v>
      </c>
    </row>
    <row r="31" spans="1:6" ht="12.75">
      <c r="A31" s="3" t="s">
        <v>18</v>
      </c>
      <c r="B31" s="2">
        <v>6174440.759</v>
      </c>
      <c r="C31" s="208">
        <v>7593.65</v>
      </c>
      <c r="D31" s="2">
        <f>+B31*1000/C31</f>
        <v>813105.7869404042</v>
      </c>
      <c r="E31" s="210">
        <v>45856</v>
      </c>
      <c r="F31" s="16">
        <f>+B31*1000/E31</f>
        <v>134648.48131106072</v>
      </c>
    </row>
    <row r="32" spans="1:6" ht="12.75">
      <c r="A32" s="3" t="s">
        <v>19</v>
      </c>
      <c r="B32" s="2">
        <v>8227293.8735</v>
      </c>
      <c r="C32" s="208">
        <v>16192.25</v>
      </c>
      <c r="D32" s="2">
        <f>+B32*1000/C32</f>
        <v>508100.71938736126</v>
      </c>
      <c r="E32" s="210">
        <v>98605</v>
      </c>
      <c r="F32" s="16">
        <f>+B32*1000/E32</f>
        <v>83436.88325642716</v>
      </c>
    </row>
    <row r="33" spans="1:6" ht="12.75">
      <c r="A33" s="3" t="s">
        <v>20</v>
      </c>
      <c r="B33" s="2">
        <v>1180315</v>
      </c>
      <c r="C33" s="208">
        <v>2821.75</v>
      </c>
      <c r="D33" s="2">
        <f>+B33*1000/C33</f>
        <v>418291.8401701072</v>
      </c>
      <c r="E33" s="210">
        <v>25814</v>
      </c>
      <c r="F33" s="16">
        <f>+B33*1000/E33</f>
        <v>45723.83202913148</v>
      </c>
    </row>
    <row r="34" spans="1:6" ht="12.75">
      <c r="A34" s="3"/>
      <c r="B34" s="2"/>
      <c r="C34" s="208"/>
      <c r="D34" s="2"/>
      <c r="E34" s="35"/>
      <c r="F34" s="16"/>
    </row>
    <row r="35" spans="1:6" ht="12.75">
      <c r="A35" s="3" t="s">
        <v>21</v>
      </c>
      <c r="B35" s="2">
        <v>6749460</v>
      </c>
      <c r="C35" s="208">
        <v>4293.7</v>
      </c>
      <c r="D35" s="2">
        <f>+B35*1000/C35</f>
        <v>1571944.9425903067</v>
      </c>
      <c r="E35" s="210">
        <v>36077</v>
      </c>
      <c r="F35" s="16">
        <f>+B35*1000/E35</f>
        <v>187084.8463009674</v>
      </c>
    </row>
    <row r="36" spans="1:6" ht="12.75">
      <c r="A36" s="3" t="s">
        <v>22</v>
      </c>
      <c r="B36" s="2">
        <v>10114170.858</v>
      </c>
      <c r="C36" s="208">
        <v>21200.180538745462</v>
      </c>
      <c r="D36" s="2">
        <f>+B36*1000/C36</f>
        <v>477079.4682392131</v>
      </c>
      <c r="E36" s="210">
        <v>143334</v>
      </c>
      <c r="F36" s="16">
        <f>+B36*1000/E36</f>
        <v>70563.65452718825</v>
      </c>
    </row>
    <row r="37" spans="1:6" ht="12.75">
      <c r="A37" s="3" t="s">
        <v>23</v>
      </c>
      <c r="B37" s="2">
        <v>5617482</v>
      </c>
      <c r="C37" s="208">
        <v>14187.949202733485</v>
      </c>
      <c r="D37" s="2">
        <f>+B37*1000/C37</f>
        <v>395933.3318530434</v>
      </c>
      <c r="E37" s="210">
        <v>92465</v>
      </c>
      <c r="F37" s="16">
        <f>+B37*1000/E37</f>
        <v>60752.52257610988</v>
      </c>
    </row>
    <row r="38" spans="1:6" ht="13.5" thickBot="1">
      <c r="A38" s="7" t="s">
        <v>24</v>
      </c>
      <c r="B38" s="125">
        <v>14483821</v>
      </c>
      <c r="C38" s="209">
        <v>6644.360610465116</v>
      </c>
      <c r="D38" s="125">
        <f>+B38*1000/C38</f>
        <v>2179866.7846515495</v>
      </c>
      <c r="E38" s="211">
        <v>49162</v>
      </c>
      <c r="F38" s="126">
        <f>+B38*1000/E38</f>
        <v>294614.1532077621</v>
      </c>
    </row>
    <row r="39" spans="1:6" ht="12.75">
      <c r="A39" s="83" t="s">
        <v>297</v>
      </c>
      <c r="B39" s="2"/>
      <c r="C39" s="2"/>
      <c r="D39" s="2"/>
      <c r="E39" s="195"/>
      <c r="F39" s="16"/>
    </row>
    <row r="40" ht="12.75">
      <c r="A40" s="83" t="s">
        <v>298</v>
      </c>
    </row>
    <row r="41" ht="12.75">
      <c r="A41" s="83"/>
    </row>
    <row r="42" ht="12.75">
      <c r="A42" s="3" t="s">
        <v>296</v>
      </c>
    </row>
    <row r="43" ht="12.75">
      <c r="A43" s="3"/>
    </row>
    <row r="44" ht="12.75">
      <c r="A44" s="135" t="s">
        <v>293</v>
      </c>
    </row>
    <row r="45" ht="12.75">
      <c r="A45" s="124" t="s">
        <v>264</v>
      </c>
    </row>
    <row r="46" ht="12.75">
      <c r="A46" s="124"/>
    </row>
    <row r="47" spans="4:5" ht="12.75">
      <c r="D47" s="41"/>
      <c r="E47"/>
    </row>
    <row r="48" spans="4:5" ht="12.75">
      <c r="D48" s="41"/>
      <c r="E48"/>
    </row>
    <row r="49" spans="4:5" ht="12.75">
      <c r="D49" s="41"/>
      <c r="E49"/>
    </row>
    <row r="50" spans="4:5" ht="12.75">
      <c r="D50" s="41"/>
      <c r="E50"/>
    </row>
    <row r="51" spans="4:5" ht="12.75">
      <c r="D51" s="41"/>
      <c r="E51"/>
    </row>
    <row r="52" spans="4:5" ht="12.75">
      <c r="D52" s="41"/>
      <c r="E52"/>
    </row>
    <row r="53" spans="4:5" ht="12.75">
      <c r="D53" s="41"/>
      <c r="E53"/>
    </row>
    <row r="54" spans="4:5" ht="12.75">
      <c r="D54" s="41"/>
      <c r="E54"/>
    </row>
    <row r="55" spans="4:5" ht="12.75">
      <c r="D55" s="41"/>
      <c r="E55"/>
    </row>
    <row r="56" spans="4:5" ht="12.75">
      <c r="D56" s="41"/>
      <c r="E56"/>
    </row>
    <row r="57" spans="4:5" ht="12.75">
      <c r="D57" s="41"/>
      <c r="E57"/>
    </row>
    <row r="58" spans="4:5" ht="12.75">
      <c r="D58" s="41"/>
      <c r="E58"/>
    </row>
    <row r="59" spans="4:5" ht="12.75">
      <c r="D59" s="41"/>
      <c r="E59"/>
    </row>
    <row r="60" spans="4:5" ht="12.75">
      <c r="D60" s="41"/>
      <c r="E60"/>
    </row>
    <row r="61" spans="4:5" ht="12.75">
      <c r="D61" s="41"/>
      <c r="E61"/>
    </row>
    <row r="62" spans="4:5" ht="12.75">
      <c r="D62" s="41"/>
      <c r="E62"/>
    </row>
    <row r="63" spans="4:5" ht="12.75">
      <c r="D63" s="41"/>
      <c r="E63"/>
    </row>
    <row r="64" spans="4:5" ht="12.75">
      <c r="D64" s="41"/>
      <c r="E64"/>
    </row>
    <row r="65" spans="4:5" ht="12.75">
      <c r="D65" s="41"/>
      <c r="E65"/>
    </row>
    <row r="66" spans="4:5" ht="12.75">
      <c r="D66" s="41"/>
      <c r="E66"/>
    </row>
    <row r="67" spans="4:5" ht="12.75">
      <c r="D67" s="41"/>
      <c r="E67"/>
    </row>
    <row r="68" spans="4:5" ht="12.75">
      <c r="D68" s="41"/>
      <c r="E68"/>
    </row>
    <row r="69" spans="4:5" ht="12.75">
      <c r="D69" s="41"/>
      <c r="E69"/>
    </row>
    <row r="70" spans="4:5" ht="12.75">
      <c r="D70" s="41"/>
      <c r="E70"/>
    </row>
    <row r="71" spans="4:5" ht="12.75">
      <c r="D71" s="41"/>
      <c r="E71"/>
    </row>
    <row r="72" spans="4:5" ht="12.75">
      <c r="D72" s="41"/>
      <c r="E72"/>
    </row>
    <row r="73" spans="4:5" ht="12.75">
      <c r="D73" s="41"/>
      <c r="E73"/>
    </row>
    <row r="74" spans="4:5" ht="12.75">
      <c r="D74" s="41"/>
      <c r="E74"/>
    </row>
    <row r="75" spans="4:5" ht="12.75">
      <c r="D75" s="41"/>
      <c r="E75"/>
    </row>
    <row r="76" spans="4:5" ht="12.75">
      <c r="D76" s="41"/>
      <c r="E76"/>
    </row>
  </sheetData>
  <sheetProtection password="CAF5" sheet="1" objects="1" scenarios="1"/>
  <mergeCells count="3">
    <mergeCell ref="A1:F1"/>
    <mergeCell ref="A3:F3"/>
    <mergeCell ref="E5:E8"/>
  </mergeCells>
  <printOptions horizontalCentered="1"/>
  <pageMargins left="0.75" right="0.75" top="0.83" bottom="1" header="0.67" footer="0.5"/>
  <pageSetup fitToHeight="1" fitToWidth="1" horizontalDpi="600" verticalDpi="600" orientation="landscape" scale="83" r:id="rId1"/>
  <headerFooter alignWithMargins="0">
    <oddHeader>&amp;R
</oddHeader>
    <oddFooter>&amp;L&amp;"Arial,Italic"&amp;9MSDE-DBS 10 / 2008&amp;C- 19 -&amp;R&amp;"Arial,Italic"&amp;9Selected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138" customWidth="1"/>
    <col min="2" max="2" width="16.7109375" style="138" customWidth="1"/>
    <col min="3" max="3" width="17.7109375" style="138" bestFit="1" customWidth="1"/>
    <col min="4" max="4" width="15.28125" style="138" customWidth="1"/>
    <col min="5" max="5" width="17.7109375" style="138" bestFit="1" customWidth="1"/>
    <col min="6" max="6" width="14.8515625" style="138" bestFit="1" customWidth="1"/>
    <col min="7" max="7" width="13.28125" style="138" customWidth="1"/>
    <col min="8" max="8" width="2.7109375" style="138" customWidth="1"/>
    <col min="9" max="12" width="9.140625" style="138" customWidth="1"/>
    <col min="14" max="14" width="16.00390625" style="61" bestFit="1" customWidth="1"/>
    <col min="15" max="15" width="15.00390625" style="62" bestFit="1" customWidth="1"/>
    <col min="16" max="16" width="14.00390625" style="62" bestFit="1" customWidth="1"/>
    <col min="17" max="17" width="16.00390625" style="62" bestFit="1" customWidth="1"/>
  </cols>
  <sheetData>
    <row r="1" spans="1:12" ht="12.75">
      <c r="A1" s="405" t="s">
        <v>94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2.75">
      <c r="A2" s="24"/>
      <c r="B2" s="24"/>
      <c r="C2" s="136"/>
      <c r="D2" s="137"/>
      <c r="E2" s="24"/>
      <c r="F2" s="24"/>
      <c r="G2" s="24"/>
      <c r="H2" s="24"/>
      <c r="I2" s="24"/>
      <c r="J2" s="24"/>
      <c r="K2" s="24"/>
      <c r="L2" s="24"/>
    </row>
    <row r="3" spans="1:17" s="35" customFormat="1" ht="12.75">
      <c r="A3" s="410" t="s">
        <v>217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N3" s="83"/>
      <c r="O3" s="135"/>
      <c r="P3" s="135"/>
      <c r="Q3" s="135"/>
    </row>
    <row r="4" spans="1:12" ht="12.75">
      <c r="A4" s="406" t="s">
        <v>157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</row>
    <row r="5" ht="13.5" thickBot="1">
      <c r="I5" s="139"/>
    </row>
    <row r="6" spans="1:59" ht="15" customHeight="1" thickTop="1">
      <c r="A6" s="140" t="s">
        <v>85</v>
      </c>
      <c r="B6" s="141" t="s">
        <v>47</v>
      </c>
      <c r="C6" s="408" t="s">
        <v>88</v>
      </c>
      <c r="D6" s="408"/>
      <c r="E6" s="409"/>
      <c r="F6" s="409"/>
      <c r="G6" s="140"/>
      <c r="H6" s="140"/>
      <c r="I6" s="408" t="s">
        <v>90</v>
      </c>
      <c r="J6" s="408"/>
      <c r="K6" s="408"/>
      <c r="L6" s="408"/>
      <c r="M6" s="20"/>
      <c r="N6" s="113"/>
      <c r="O6" s="85"/>
      <c r="P6" s="85"/>
      <c r="Q6" s="85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12" ht="12.75">
      <c r="A7" s="142" t="s">
        <v>35</v>
      </c>
      <c r="B7" s="143" t="s">
        <v>91</v>
      </c>
      <c r="C7" s="407" t="s">
        <v>85</v>
      </c>
      <c r="D7" s="407"/>
      <c r="E7" s="144"/>
      <c r="F7" s="144"/>
      <c r="G7" s="143" t="s">
        <v>87</v>
      </c>
      <c r="H7" s="143"/>
      <c r="I7" s="145"/>
      <c r="J7" s="145"/>
      <c r="K7" s="145"/>
      <c r="L7" s="145" t="s">
        <v>87</v>
      </c>
    </row>
    <row r="8" spans="1:12" ht="13.5" thickBot="1">
      <c r="A8" s="146" t="s">
        <v>144</v>
      </c>
      <c r="B8" s="147" t="s">
        <v>92</v>
      </c>
      <c r="C8" s="148" t="s">
        <v>265</v>
      </c>
      <c r="D8" s="148" t="s">
        <v>268</v>
      </c>
      <c r="E8" s="148" t="s">
        <v>48</v>
      </c>
      <c r="F8" s="148" t="s">
        <v>55</v>
      </c>
      <c r="G8" s="148" t="s">
        <v>89</v>
      </c>
      <c r="H8" s="148"/>
      <c r="I8" s="147" t="s">
        <v>85</v>
      </c>
      <c r="J8" s="147" t="s">
        <v>48</v>
      </c>
      <c r="K8" s="149" t="s">
        <v>55</v>
      </c>
      <c r="L8" s="148" t="s">
        <v>89</v>
      </c>
    </row>
    <row r="9" spans="1:17" ht="12.75">
      <c r="A9" s="150" t="s">
        <v>0</v>
      </c>
      <c r="B9" s="151">
        <f aca="true" t="shared" si="0" ref="B9:G9">SUM(B11:B38)</f>
        <v>10146034201.25</v>
      </c>
      <c r="C9" s="152">
        <f t="shared" si="0"/>
        <v>4911481765.59</v>
      </c>
      <c r="D9" s="151">
        <f t="shared" si="0"/>
        <v>110773951.10000001</v>
      </c>
      <c r="E9" s="152">
        <f t="shared" si="0"/>
        <v>4419141662.8</v>
      </c>
      <c r="F9" s="152">
        <f t="shared" si="0"/>
        <v>674335003.5000002</v>
      </c>
      <c r="G9" s="151">
        <f t="shared" si="0"/>
        <v>30301818.260000005</v>
      </c>
      <c r="H9" s="151"/>
      <c r="I9" s="153">
        <f>IF(B9&lt;&gt;0,((+C9+D9)/B9),(IF(C9&lt;&gt;0,1,0)))</f>
        <v>0.4949969236326105</v>
      </c>
      <c r="J9" s="153">
        <f>IF($B9&lt;&gt;0,(E9/$B9),(IF(E9&lt;&gt;0,1,0)))</f>
        <v>0.4355535941575634</v>
      </c>
      <c r="K9" s="153">
        <f>IF($B9&lt;&gt;0,(F9/$B9),(IF(F9&lt;&gt;0,1,0)))</f>
        <v>0.0664629144870142</v>
      </c>
      <c r="L9" s="153">
        <f>IF($B9&lt;&gt;0,(G9/$B9),(IF(G9&lt;&gt;0,1,0)))</f>
        <v>0.0029865677228120124</v>
      </c>
      <c r="M9" s="62"/>
      <c r="N9" s="86"/>
      <c r="O9" s="86"/>
      <c r="P9" s="86"/>
      <c r="Q9" s="86"/>
    </row>
    <row r="10" spans="1:14" ht="12.75">
      <c r="A10" s="150"/>
      <c r="B10" s="154"/>
      <c r="C10" s="155"/>
      <c r="D10" s="156"/>
      <c r="E10" s="157"/>
      <c r="F10" s="157"/>
      <c r="G10" s="157"/>
      <c r="H10" s="157"/>
      <c r="I10" s="158"/>
      <c r="J10" s="158"/>
      <c r="K10" s="158"/>
      <c r="L10" s="158"/>
      <c r="M10" s="62"/>
      <c r="N10" s="84"/>
    </row>
    <row r="11" spans="1:17" ht="12.75">
      <c r="A11" s="159" t="s">
        <v>1</v>
      </c>
      <c r="B11" s="160">
        <f aca="true" t="shared" si="1" ref="B11:B38">SUM(C11:G11)</f>
        <v>115032052.89999999</v>
      </c>
      <c r="C11" s="246">
        <v>27388999.8</v>
      </c>
      <c r="D11" s="246">
        <v>1067959.58</v>
      </c>
      <c r="E11" s="161">
        <f>state1!C12</f>
        <v>74454621.24</v>
      </c>
      <c r="F11" s="247">
        <f>fed1!B12</f>
        <v>11464744.04</v>
      </c>
      <c r="G11" s="246">
        <v>655728.24</v>
      </c>
      <c r="H11" s="160"/>
      <c r="I11" s="162">
        <f>IF(B11&lt;&gt;0,((+C11+D11)/B11*100),(IF(C11&lt;&gt;0,1,0)))</f>
        <v>24.738286992703063</v>
      </c>
      <c r="J11" s="162">
        <f>IF($B11&lt;&gt;0,(E11/$B11*100),(IF(E11&lt;&gt;0,1,0)))</f>
        <v>64.7251086657778</v>
      </c>
      <c r="K11" s="162">
        <f aca="true" t="shared" si="2" ref="K11:L26">IF($B11&lt;&gt;0,(F11/$B11*100),(IF(F11&lt;&gt;0,1,0)))</f>
        <v>9.96656475388348</v>
      </c>
      <c r="L11" s="162">
        <f t="shared" si="2"/>
        <v>0.570039587635665</v>
      </c>
      <c r="M11" s="88"/>
      <c r="N11" s="87"/>
      <c r="Q11" s="88"/>
    </row>
    <row r="12" spans="1:17" ht="12.75">
      <c r="A12" s="159" t="s">
        <v>2</v>
      </c>
      <c r="B12" s="160">
        <f t="shared" si="1"/>
        <v>811653597.99</v>
      </c>
      <c r="C12" s="246">
        <v>488254350</v>
      </c>
      <c r="D12" s="226">
        <v>6707718.069999999</v>
      </c>
      <c r="E12" s="161">
        <f>state1!C13</f>
        <v>271107323.9</v>
      </c>
      <c r="F12" s="247">
        <f>fed1!B13</f>
        <v>45141908.019999996</v>
      </c>
      <c r="G12" s="246">
        <v>442298</v>
      </c>
      <c r="H12" s="163"/>
      <c r="I12" s="162">
        <f>IF(B12&lt;&gt;0,((+C12+D12)/B12*100),(IF(C12&lt;&gt;0,1,0)))</f>
        <v>60.98193481748086</v>
      </c>
      <c r="J12" s="162">
        <f>IF($B12&lt;&gt;0,(E12/$B12*100),(IF(E12&lt;&gt;0,1,0)))</f>
        <v>33.40185081066321</v>
      </c>
      <c r="K12" s="162">
        <f t="shared" si="2"/>
        <v>5.56172092771973</v>
      </c>
      <c r="L12" s="162">
        <f t="shared" si="2"/>
        <v>0.054493444136183</v>
      </c>
      <c r="M12" s="62"/>
      <c r="N12" s="87"/>
      <c r="Q12" s="88"/>
    </row>
    <row r="13" spans="1:17" ht="12.75">
      <c r="A13" s="159" t="s">
        <v>3</v>
      </c>
      <c r="B13" s="160">
        <f t="shared" si="1"/>
        <v>1131824698.81</v>
      </c>
      <c r="C13" s="246">
        <f>207944660.7-7767742.06</f>
        <v>200176918.64</v>
      </c>
      <c r="D13" s="246">
        <v>14567923.659999998</v>
      </c>
      <c r="E13" s="161">
        <f>state1!C14</f>
        <v>772744132.09</v>
      </c>
      <c r="F13" s="247">
        <f>fed1!B14</f>
        <v>135244788.42</v>
      </c>
      <c r="G13" s="248">
        <v>9090936</v>
      </c>
      <c r="H13" s="163"/>
      <c r="I13" s="162">
        <f>IF(B13&lt;&gt;0,((+C13+D13)/B13*100),(IF(C13&lt;&gt;0,1,0)))</f>
        <v>18.973330633779472</v>
      </c>
      <c r="J13" s="162">
        <f>IF($B13&lt;&gt;0,(E13/$B13*100),(IF(E13&lt;&gt;0,1,0)))</f>
        <v>68.27418882998957</v>
      </c>
      <c r="K13" s="162">
        <f t="shared" si="2"/>
        <v>11.949269932189702</v>
      </c>
      <c r="L13" s="162">
        <f t="shared" si="2"/>
        <v>0.8032106040412625</v>
      </c>
      <c r="M13" s="62"/>
      <c r="N13" s="87"/>
      <c r="Q13" s="88"/>
    </row>
    <row r="14" spans="1:17" ht="12.75">
      <c r="A14" s="159" t="s">
        <v>4</v>
      </c>
      <c r="B14" s="160">
        <f t="shared" si="1"/>
        <v>1216341431.56</v>
      </c>
      <c r="C14" s="246">
        <v>607173546.17</v>
      </c>
      <c r="D14" s="246">
        <v>5187083.13</v>
      </c>
      <c r="E14" s="161">
        <f>state1!C15</f>
        <v>498766281.66</v>
      </c>
      <c r="F14" s="247">
        <f>fed1!B15</f>
        <v>92720972.6</v>
      </c>
      <c r="G14" s="246">
        <v>12493548</v>
      </c>
      <c r="H14" s="163"/>
      <c r="I14" s="162">
        <f>IF(B14&lt;&gt;0,((+C14+D14)/B14*100),(IF(C14&lt;&gt;0,1,0)))</f>
        <v>50.344468535830956</v>
      </c>
      <c r="J14" s="162">
        <f>IF($B14&lt;&gt;0,(E14/$B14*100),(IF(E14&lt;&gt;0,1,0)))</f>
        <v>41.00545033809422</v>
      </c>
      <c r="K14" s="162">
        <f t="shared" si="2"/>
        <v>7.62293959526497</v>
      </c>
      <c r="L14" s="162">
        <f t="shared" si="2"/>
        <v>1.0271415308098641</v>
      </c>
      <c r="M14" s="62"/>
      <c r="N14" s="87"/>
      <c r="Q14" s="88"/>
    </row>
    <row r="15" spans="1:17" ht="12.75">
      <c r="A15" s="159" t="s">
        <v>5</v>
      </c>
      <c r="B15" s="160">
        <f t="shared" si="1"/>
        <v>182987067.34</v>
      </c>
      <c r="C15" s="246">
        <v>90378744</v>
      </c>
      <c r="D15" s="246">
        <v>2819241.3</v>
      </c>
      <c r="E15" s="161">
        <f>state1!C16</f>
        <v>82208907.88000001</v>
      </c>
      <c r="F15" s="247">
        <f>fed1!B16</f>
        <v>7580174.159999999</v>
      </c>
      <c r="G15" s="161">
        <v>0</v>
      </c>
      <c r="H15" s="163"/>
      <c r="I15" s="162">
        <f>IF(B15&lt;&gt;0,((+C15+D15)/B15*100),(IF(C15&lt;&gt;0,1,0)))</f>
        <v>50.93146015987733</v>
      </c>
      <c r="J15" s="162">
        <f>IF($B15&lt;&gt;0,(E15/$B15*100),(IF(E15&lt;&gt;0,1,0)))</f>
        <v>44.92607541889906</v>
      </c>
      <c r="K15" s="162">
        <f t="shared" si="2"/>
        <v>4.1424644212236155</v>
      </c>
      <c r="L15" s="162">
        <f t="shared" si="2"/>
        <v>0</v>
      </c>
      <c r="M15" s="62"/>
      <c r="N15" s="87"/>
      <c r="Q15" s="88"/>
    </row>
    <row r="16" spans="1:14" ht="12.75">
      <c r="A16" s="159"/>
      <c r="B16" s="160"/>
      <c r="C16" s="246"/>
      <c r="D16" s="161"/>
      <c r="E16" s="165"/>
      <c r="F16" s="247"/>
      <c r="G16" s="161"/>
      <c r="H16" s="163"/>
      <c r="I16" s="162"/>
      <c r="J16" s="162"/>
      <c r="K16" s="162"/>
      <c r="L16" s="162"/>
      <c r="M16" s="62"/>
      <c r="N16" s="87"/>
    </row>
    <row r="17" spans="1:17" ht="12.75">
      <c r="A17" s="159" t="s">
        <v>6</v>
      </c>
      <c r="B17" s="160">
        <f t="shared" si="1"/>
        <v>57114016.8</v>
      </c>
      <c r="C17" s="226">
        <v>11850000</v>
      </c>
      <c r="D17" s="246">
        <v>686553.16</v>
      </c>
      <c r="E17" s="161">
        <f>state1!C18</f>
        <v>39598509.2</v>
      </c>
      <c r="F17" s="247">
        <f>fed1!B18</f>
        <v>4978954.44</v>
      </c>
      <c r="G17" s="161">
        <v>0</v>
      </c>
      <c r="H17" s="163"/>
      <c r="I17" s="162">
        <f>IF(B17&lt;&gt;0,((+C17+D17)/B17*100),(IF(C17&lt;&gt;0,1,0)))</f>
        <v>21.95004635009317</v>
      </c>
      <c r="J17" s="162">
        <f>IF($B17&lt;&gt;0,(E17/$B17*100),(IF(E17&lt;&gt;0,1,0)))</f>
        <v>69.33238356998208</v>
      </c>
      <c r="K17" s="162">
        <f t="shared" si="2"/>
        <v>8.717570079924759</v>
      </c>
      <c r="L17" s="162">
        <f t="shared" si="2"/>
        <v>0</v>
      </c>
      <c r="M17" s="62"/>
      <c r="N17" s="87"/>
      <c r="Q17" s="88"/>
    </row>
    <row r="18" spans="1:17" ht="12.75">
      <c r="A18" s="159" t="s">
        <v>7</v>
      </c>
      <c r="B18" s="160">
        <f t="shared" si="1"/>
        <v>298747390.37</v>
      </c>
      <c r="C18" s="226">
        <v>144998072</v>
      </c>
      <c r="D18" s="246">
        <v>2155102.91</v>
      </c>
      <c r="E18" s="161">
        <f>state1!C19</f>
        <v>138616622.63</v>
      </c>
      <c r="F18" s="247">
        <f>fed1!B19</f>
        <v>11879920.61</v>
      </c>
      <c r="G18" s="246">
        <v>1097672.22</v>
      </c>
      <c r="H18" s="163"/>
      <c r="I18" s="162">
        <f>IF(B18&lt;&gt;0,((+C18+D18)/B18*100),(IF(C18&lt;&gt;0,1,0)))</f>
        <v>49.256723122417945</v>
      </c>
      <c r="J18" s="162">
        <f>IF($B18&lt;&gt;0,(E18/$B18*100),(IF(E18&lt;&gt;0,1,0)))</f>
        <v>46.39927480481843</v>
      </c>
      <c r="K18" s="162">
        <f t="shared" si="2"/>
        <v>3.9765771996490624</v>
      </c>
      <c r="L18" s="162">
        <f t="shared" si="2"/>
        <v>0.36742487311454936</v>
      </c>
      <c r="M18" s="62"/>
      <c r="N18" s="87"/>
      <c r="Q18" s="88"/>
    </row>
    <row r="19" spans="1:17" ht="12.75">
      <c r="A19" s="159" t="s">
        <v>8</v>
      </c>
      <c r="B19" s="160">
        <f t="shared" si="1"/>
        <v>171663385.23</v>
      </c>
      <c r="C19" s="226">
        <v>65715090</v>
      </c>
      <c r="D19" s="246">
        <v>1975200.16</v>
      </c>
      <c r="E19" s="161">
        <f>state1!C20</f>
        <v>93891134.90999998</v>
      </c>
      <c r="F19" s="247">
        <f>fed1!B20</f>
        <v>10081960.16</v>
      </c>
      <c r="G19" s="246">
        <v>0</v>
      </c>
      <c r="H19" s="163"/>
      <c r="I19" s="162">
        <f>IF(B19&lt;&gt;0,((+C19+D19)/B19*100),(IF(C19&lt;&gt;0,1,0)))</f>
        <v>39.431990735418864</v>
      </c>
      <c r="J19" s="162">
        <f>IF($B19&lt;&gt;0,(E19/$B19*100),(IF(E19&lt;&gt;0,1,0)))</f>
        <v>54.694910498357984</v>
      </c>
      <c r="K19" s="162">
        <f t="shared" si="2"/>
        <v>5.873098766223137</v>
      </c>
      <c r="L19" s="162">
        <f t="shared" si="2"/>
        <v>0</v>
      </c>
      <c r="M19" s="62"/>
      <c r="N19" s="87"/>
      <c r="Q19" s="88"/>
    </row>
    <row r="20" spans="1:17" ht="12.75">
      <c r="A20" s="159" t="s">
        <v>9</v>
      </c>
      <c r="B20" s="160">
        <f t="shared" si="1"/>
        <v>281745836.89</v>
      </c>
      <c r="C20" s="226">
        <v>124006000</v>
      </c>
      <c r="D20" s="246">
        <v>3692641.81</v>
      </c>
      <c r="E20" s="161">
        <f>state1!C21</f>
        <v>140687209.11</v>
      </c>
      <c r="F20" s="247">
        <f>fed1!B21</f>
        <v>13359985.969999999</v>
      </c>
      <c r="G20" s="246">
        <v>0</v>
      </c>
      <c r="H20" s="163"/>
      <c r="I20" s="162">
        <f>IF(B20&lt;&gt;0,((+C20+D20)/B20*100),(IF(C20&lt;&gt;0,1,0)))</f>
        <v>45.324056326644666</v>
      </c>
      <c r="J20" s="162">
        <f>IF($B20&lt;&gt;0,(E20/$B20*100),(IF(E20&lt;&gt;0,1,0)))</f>
        <v>49.93408621861111</v>
      </c>
      <c r="K20" s="162">
        <f t="shared" si="2"/>
        <v>4.741857454744236</v>
      </c>
      <c r="L20" s="162">
        <f t="shared" si="2"/>
        <v>0</v>
      </c>
      <c r="M20" s="62"/>
      <c r="N20" s="87"/>
      <c r="Q20" s="88"/>
    </row>
    <row r="21" spans="1:17" ht="12.75">
      <c r="A21" s="159" t="s">
        <v>10</v>
      </c>
      <c r="B21" s="160">
        <f t="shared" si="1"/>
        <v>51987987.97</v>
      </c>
      <c r="C21" s="226">
        <v>16344830</v>
      </c>
      <c r="D21" s="246">
        <v>1227247.04</v>
      </c>
      <c r="E21" s="161">
        <f>state1!C22</f>
        <v>28313389.04</v>
      </c>
      <c r="F21" s="247">
        <f>fed1!B22</f>
        <v>6102521.89</v>
      </c>
      <c r="G21" s="161">
        <v>0</v>
      </c>
      <c r="H21" s="163"/>
      <c r="I21" s="162">
        <f>IF(B21&lt;&gt;0,((+C21+D21)/B21*100),(IF(C21&lt;&gt;0,1,0)))</f>
        <v>33.80026372657483</v>
      </c>
      <c r="J21" s="162">
        <f>IF($B21&lt;&gt;0,(E21/$B21*100),(IF(E21&lt;&gt;0,1,0)))</f>
        <v>54.46140569305822</v>
      </c>
      <c r="K21" s="162">
        <f t="shared" si="2"/>
        <v>11.738330580366947</v>
      </c>
      <c r="L21" s="162">
        <f t="shared" si="2"/>
        <v>0</v>
      </c>
      <c r="M21" s="62"/>
      <c r="N21" s="87"/>
      <c r="Q21" s="88"/>
    </row>
    <row r="22" spans="1:14" ht="12.75">
      <c r="A22" s="159"/>
      <c r="B22" s="160"/>
      <c r="C22" s="246"/>
      <c r="D22" s="161"/>
      <c r="E22" s="165"/>
      <c r="F22" s="247"/>
      <c r="G22" s="161"/>
      <c r="H22" s="163"/>
      <c r="I22" s="162"/>
      <c r="J22" s="162"/>
      <c r="K22" s="162"/>
      <c r="L22" s="162"/>
      <c r="M22" s="62"/>
      <c r="N22" s="87"/>
    </row>
    <row r="23" spans="1:17" ht="12.75">
      <c r="A23" s="159" t="s">
        <v>11</v>
      </c>
      <c r="B23" s="160">
        <f t="shared" si="1"/>
        <v>413454782.92</v>
      </c>
      <c r="C23" s="246">
        <v>205597129.06</v>
      </c>
      <c r="D23" s="246">
        <v>3981611.79</v>
      </c>
      <c r="E23" s="161">
        <f>state1!C24</f>
        <v>186694643.88000003</v>
      </c>
      <c r="F23" s="247">
        <f>fed1!B24</f>
        <v>17181398.189999998</v>
      </c>
      <c r="G23" s="161">
        <v>0</v>
      </c>
      <c r="H23" s="163"/>
      <c r="I23" s="162">
        <f>IF(B23&lt;&gt;0,((+C23+D23)/B23*100),(IF(C23&lt;&gt;0,1,0)))</f>
        <v>50.68963995769078</v>
      </c>
      <c r="J23" s="162">
        <f aca="true" t="shared" si="3" ref="J23:L27">IF($B23&lt;&gt;0,(E23/$B23*100),(IF(E23&lt;&gt;0,1,0)))</f>
        <v>45.154791186954014</v>
      </c>
      <c r="K23" s="162">
        <f t="shared" si="2"/>
        <v>4.155568855355207</v>
      </c>
      <c r="L23" s="162">
        <f t="shared" si="2"/>
        <v>0</v>
      </c>
      <c r="M23" s="62"/>
      <c r="N23" s="87"/>
      <c r="Q23" s="88"/>
    </row>
    <row r="24" spans="1:17" ht="12.75">
      <c r="A24" s="159" t="s">
        <v>12</v>
      </c>
      <c r="B24" s="160">
        <f t="shared" si="1"/>
        <v>50784334.7</v>
      </c>
      <c r="C24" s="246">
        <v>19161102.38</v>
      </c>
      <c r="D24" s="246">
        <v>588666.84</v>
      </c>
      <c r="E24" s="161">
        <f>state1!C25</f>
        <v>25784383.290000003</v>
      </c>
      <c r="F24" s="247">
        <f>fed1!B25</f>
        <v>5240428.16</v>
      </c>
      <c r="G24" s="246">
        <v>9754.03</v>
      </c>
      <c r="H24" s="163"/>
      <c r="I24" s="162">
        <f>IF(B24&lt;&gt;0,((+C24+D24)/B24*100),(IF(C24&lt;&gt;0,1,0)))</f>
        <v>38.889490896490955</v>
      </c>
      <c r="J24" s="162">
        <f t="shared" si="3"/>
        <v>50.77231678295473</v>
      </c>
      <c r="K24" s="162">
        <f t="shared" si="2"/>
        <v>10.318985551266856</v>
      </c>
      <c r="L24" s="162">
        <f t="shared" si="2"/>
        <v>0.019206769287459034</v>
      </c>
      <c r="M24" s="62"/>
      <c r="N24" s="87"/>
      <c r="Q24" s="88"/>
    </row>
    <row r="25" spans="1:17" ht="12.75">
      <c r="A25" s="159" t="s">
        <v>13</v>
      </c>
      <c r="B25" s="160">
        <f t="shared" si="1"/>
        <v>422829797.94000006</v>
      </c>
      <c r="C25" s="246">
        <v>189414800</v>
      </c>
      <c r="D25" s="246">
        <v>3302063.46</v>
      </c>
      <c r="E25" s="161">
        <f>state1!C26</f>
        <v>204859025.91000003</v>
      </c>
      <c r="F25" s="247">
        <f>fed1!B26</f>
        <v>22825488.22</v>
      </c>
      <c r="G25" s="246">
        <v>2428420.35</v>
      </c>
      <c r="H25" s="163"/>
      <c r="I25" s="162">
        <f>IF(B25&lt;&gt;0,((+C25+D25)/B25*100),(IF(C25&lt;&gt;0,1,0)))</f>
        <v>45.577881312741994</v>
      </c>
      <c r="J25" s="162">
        <f t="shared" si="3"/>
        <v>48.44952434952792</v>
      </c>
      <c r="K25" s="162">
        <f t="shared" si="2"/>
        <v>5.398268601504513</v>
      </c>
      <c r="L25" s="162">
        <f t="shared" si="2"/>
        <v>0.5743257362255711</v>
      </c>
      <c r="M25" s="62"/>
      <c r="N25" s="87"/>
      <c r="Q25" s="88"/>
    </row>
    <row r="26" spans="1:17" ht="12.75">
      <c r="A26" s="159" t="s">
        <v>14</v>
      </c>
      <c r="B26" s="160">
        <f t="shared" si="1"/>
        <v>606894186.58</v>
      </c>
      <c r="C26" s="246">
        <v>393710890</v>
      </c>
      <c r="D26" s="246">
        <v>8072227</v>
      </c>
      <c r="E26" s="161">
        <f>state1!C27</f>
        <v>186582032.76000002</v>
      </c>
      <c r="F26" s="247">
        <f>fed1!B27</f>
        <v>18529036.82</v>
      </c>
      <c r="G26" s="246">
        <v>0</v>
      </c>
      <c r="H26" s="163"/>
      <c r="I26" s="162">
        <f>IF(B26&lt;&gt;0,((+C26+D26)/B26*100),(IF(C26&lt;&gt;0,1,0)))</f>
        <v>66.20315796138169</v>
      </c>
      <c r="J26" s="162">
        <f t="shared" si="3"/>
        <v>30.743750209807786</v>
      </c>
      <c r="K26" s="162">
        <f t="shared" si="2"/>
        <v>3.053091828810511</v>
      </c>
      <c r="L26" s="162">
        <f t="shared" si="2"/>
        <v>0</v>
      </c>
      <c r="M26" s="62"/>
      <c r="N26" s="87"/>
      <c r="Q26" s="88"/>
    </row>
    <row r="27" spans="1:17" ht="12.75">
      <c r="A27" s="159" t="s">
        <v>15</v>
      </c>
      <c r="B27" s="160">
        <f t="shared" si="1"/>
        <v>29508256.63</v>
      </c>
      <c r="C27" s="246">
        <v>15174800</v>
      </c>
      <c r="D27" s="246">
        <v>308656</v>
      </c>
      <c r="E27" s="161">
        <f>state1!C28</f>
        <v>10829417.09</v>
      </c>
      <c r="F27" s="247">
        <f>fed1!B28</f>
        <v>3195383.54</v>
      </c>
      <c r="G27" s="246">
        <v>0</v>
      </c>
      <c r="H27" s="163"/>
      <c r="I27" s="162">
        <f>IF(B27&lt;&gt;0,((+C27+D27)/B27*100),(IF(C27&lt;&gt;0,1,0)))</f>
        <v>52.471605470106006</v>
      </c>
      <c r="J27" s="162">
        <f t="shared" si="3"/>
        <v>36.69961674045533</v>
      </c>
      <c r="K27" s="162">
        <f t="shared" si="3"/>
        <v>10.828777789438657</v>
      </c>
      <c r="L27" s="162">
        <f t="shared" si="3"/>
        <v>0</v>
      </c>
      <c r="M27" s="62"/>
      <c r="N27" s="87"/>
      <c r="Q27" s="88"/>
    </row>
    <row r="28" spans="1:14" ht="12.75">
      <c r="A28" s="159"/>
      <c r="B28" s="160"/>
      <c r="C28" s="161"/>
      <c r="D28" s="161"/>
      <c r="E28" s="165"/>
      <c r="F28" s="247"/>
      <c r="G28" s="161"/>
      <c r="H28" s="163"/>
      <c r="I28" s="162"/>
      <c r="J28" s="162"/>
      <c r="K28" s="162"/>
      <c r="L28" s="162"/>
      <c r="M28" s="62"/>
      <c r="N28" s="87"/>
    </row>
    <row r="29" spans="1:17" ht="12.75">
      <c r="A29" s="159" t="s">
        <v>16</v>
      </c>
      <c r="B29" s="160">
        <f t="shared" si="1"/>
        <v>1922085805.8800004</v>
      </c>
      <c r="C29" s="246">
        <v>1381701414.89</v>
      </c>
      <c r="D29" s="246">
        <v>14017603.66</v>
      </c>
      <c r="E29" s="161">
        <f>state1!C30</f>
        <v>432359909.36</v>
      </c>
      <c r="F29" s="247">
        <f>fed1!B30</f>
        <v>92958904.97</v>
      </c>
      <c r="G29" s="246">
        <v>1047973</v>
      </c>
      <c r="H29" s="163"/>
      <c r="I29" s="162">
        <f>IF(B29&lt;&gt;0,((+C29+D29)/B29*100),(IF(C29&lt;&gt;0,1,0)))</f>
        <v>72.6148132554878</v>
      </c>
      <c r="J29" s="162">
        <f aca="true" t="shared" si="4" ref="J29:L33">IF($B29&lt;&gt;0,(E29/$B29*100),(IF(E29&lt;&gt;0,1,0)))</f>
        <v>22.4943084245945</v>
      </c>
      <c r="K29" s="162">
        <f t="shared" si="4"/>
        <v>4.836355623959257</v>
      </c>
      <c r="L29" s="162">
        <f t="shared" si="4"/>
        <v>0.05452269595842523</v>
      </c>
      <c r="M29" s="62"/>
      <c r="N29" s="87"/>
      <c r="Q29" s="88"/>
    </row>
    <row r="30" spans="1:17" ht="12.75">
      <c r="A30" s="159" t="s">
        <v>17</v>
      </c>
      <c r="B30" s="160">
        <f t="shared" si="1"/>
        <v>1574519050.6299999</v>
      </c>
      <c r="C30" s="246">
        <v>591196334.4</v>
      </c>
      <c r="D30" s="246">
        <v>31037908.619999986</v>
      </c>
      <c r="E30" s="161">
        <f>state1!C31</f>
        <v>840660375.4099998</v>
      </c>
      <c r="F30" s="247">
        <f>fed1!B31</f>
        <v>111624432.20000002</v>
      </c>
      <c r="G30" s="246">
        <v>0</v>
      </c>
      <c r="H30" s="163"/>
      <c r="I30" s="162">
        <f>IF(B30&lt;&gt;0,((+C30+D30)/B30*100),(IF(C30&lt;&gt;0,1,0)))</f>
        <v>39.51900377267778</v>
      </c>
      <c r="J30" s="162">
        <f t="shared" si="4"/>
        <v>53.39156582917387</v>
      </c>
      <c r="K30" s="162">
        <f t="shared" si="4"/>
        <v>7.08943039814835</v>
      </c>
      <c r="L30" s="162">
        <f t="shared" si="4"/>
        <v>0</v>
      </c>
      <c r="M30" s="62"/>
      <c r="N30" s="87"/>
      <c r="Q30" s="88"/>
    </row>
    <row r="31" spans="1:17" ht="12.75">
      <c r="A31" s="159" t="s">
        <v>18</v>
      </c>
      <c r="B31" s="160">
        <f t="shared" si="1"/>
        <v>75728507.95</v>
      </c>
      <c r="C31" s="246">
        <v>39940413</v>
      </c>
      <c r="D31" s="226">
        <v>573892.62</v>
      </c>
      <c r="E31" s="161">
        <f>state1!C32</f>
        <v>30200495.66</v>
      </c>
      <c r="F31" s="247">
        <f>fed1!B32</f>
        <v>5013706.670000001</v>
      </c>
      <c r="G31" s="246">
        <v>0</v>
      </c>
      <c r="H31" s="163"/>
      <c r="I31" s="162">
        <f>IF(B31&lt;&gt;0,((+C31+D31)/B31*100),(IF(C31&lt;&gt;0,1,0)))</f>
        <v>53.499410878066826</v>
      </c>
      <c r="J31" s="162">
        <f t="shared" si="4"/>
        <v>39.87995601331533</v>
      </c>
      <c r="K31" s="162">
        <f t="shared" si="4"/>
        <v>6.6206331086178505</v>
      </c>
      <c r="L31" s="162">
        <f t="shared" si="4"/>
        <v>0</v>
      </c>
      <c r="M31" s="62"/>
      <c r="N31" s="87"/>
      <c r="Q31" s="88"/>
    </row>
    <row r="32" spans="1:17" ht="12.75">
      <c r="A32" s="159" t="s">
        <v>19</v>
      </c>
      <c r="B32" s="160">
        <f t="shared" si="1"/>
        <v>170780298.33</v>
      </c>
      <c r="C32" s="246">
        <v>67811488</v>
      </c>
      <c r="D32" s="226">
        <v>1874641.34</v>
      </c>
      <c r="E32" s="161">
        <f>state1!C33</f>
        <v>86558432.32000001</v>
      </c>
      <c r="F32" s="247">
        <f>fed1!B33</f>
        <v>12322519.44</v>
      </c>
      <c r="G32" s="246">
        <v>2213217.23</v>
      </c>
      <c r="H32" s="163"/>
      <c r="I32" s="162">
        <f>IF(B32&lt;&gt;0,((+C32+D32)/B32*100),(IF(C32&lt;&gt;0,1,0)))</f>
        <v>40.804548312326396</v>
      </c>
      <c r="J32" s="162">
        <f t="shared" si="4"/>
        <v>50.68408543984536</v>
      </c>
      <c r="K32" s="162">
        <f t="shared" si="4"/>
        <v>7.215422130361375</v>
      </c>
      <c r="L32" s="162">
        <f t="shared" si="4"/>
        <v>1.2959441174668662</v>
      </c>
      <c r="M32" s="62"/>
      <c r="N32" s="87"/>
      <c r="Q32" s="88"/>
    </row>
    <row r="33" spans="1:17" ht="12.75">
      <c r="A33" s="159" t="s">
        <v>20</v>
      </c>
      <c r="B33" s="160">
        <f t="shared" si="1"/>
        <v>38034226.64</v>
      </c>
      <c r="C33" s="246">
        <v>8925712</v>
      </c>
      <c r="D33" s="246">
        <v>564885.09</v>
      </c>
      <c r="E33" s="161">
        <f>state1!C34</f>
        <v>22881576.81</v>
      </c>
      <c r="F33" s="247">
        <f>fed1!B34</f>
        <v>5662052.74</v>
      </c>
      <c r="G33" s="161">
        <v>0</v>
      </c>
      <c r="H33" s="163"/>
      <c r="I33" s="162">
        <f>IF(B33&lt;&gt;0,((+C33+D33)/B33*100),(IF(C33&lt;&gt;0,1,0)))</f>
        <v>24.95278050433366</v>
      </c>
      <c r="J33" s="162">
        <f t="shared" si="4"/>
        <v>60.16048919984034</v>
      </c>
      <c r="K33" s="162">
        <f t="shared" si="4"/>
        <v>14.886730295825993</v>
      </c>
      <c r="L33" s="162">
        <f t="shared" si="4"/>
        <v>0</v>
      </c>
      <c r="M33" s="62"/>
      <c r="N33" s="87"/>
      <c r="Q33" s="88"/>
    </row>
    <row r="34" spans="1:14" ht="12.75">
      <c r="A34" s="159"/>
      <c r="B34" s="160"/>
      <c r="C34" s="135"/>
      <c r="D34" s="161"/>
      <c r="E34" s="161"/>
      <c r="F34" s="247"/>
      <c r="G34" s="161"/>
      <c r="H34" s="163"/>
      <c r="I34" s="162"/>
      <c r="J34" s="162"/>
      <c r="K34" s="162"/>
      <c r="L34" s="162"/>
      <c r="M34" s="62"/>
      <c r="N34" s="87"/>
    </row>
    <row r="35" spans="1:17" ht="12.75">
      <c r="A35" s="159" t="s">
        <v>21</v>
      </c>
      <c r="B35" s="160">
        <f t="shared" si="1"/>
        <v>46765088.660000004</v>
      </c>
      <c r="C35" s="246">
        <v>29848888</v>
      </c>
      <c r="D35" s="246">
        <v>1501814.05</v>
      </c>
      <c r="E35" s="161">
        <f>state1!C36</f>
        <v>12481410.33</v>
      </c>
      <c r="F35" s="247">
        <f>fed1!B36</f>
        <v>2888073.2800000003</v>
      </c>
      <c r="G35" s="246">
        <v>44903</v>
      </c>
      <c r="H35" s="163"/>
      <c r="I35" s="162">
        <f>IF(B35&lt;&gt;0,((+C35+D35)/B35*100),(IF(C35&lt;&gt;0,1,0)))</f>
        <v>67.03868836415887</v>
      </c>
      <c r="J35" s="162">
        <f aca="true" t="shared" si="5" ref="J35:L38">IF($B35&lt;&gt;0,(E35/$B35*100),(IF(E35&lt;&gt;0,1,0)))</f>
        <v>26.68958979366981</v>
      </c>
      <c r="K35" s="162">
        <f t="shared" si="5"/>
        <v>6.175703634387165</v>
      </c>
      <c r="L35" s="162">
        <f t="shared" si="5"/>
        <v>0.09601820778414834</v>
      </c>
      <c r="M35" s="62"/>
      <c r="N35" s="87"/>
      <c r="Q35" s="88"/>
    </row>
    <row r="36" spans="1:17" ht="12.75">
      <c r="A36" s="159" t="s">
        <v>22</v>
      </c>
      <c r="B36" s="160">
        <f t="shared" si="1"/>
        <v>221427987.16</v>
      </c>
      <c r="C36" s="246">
        <v>83232402.25</v>
      </c>
      <c r="D36" s="246">
        <v>1196109.14</v>
      </c>
      <c r="E36" s="161">
        <f>state1!C37</f>
        <v>120833163.67</v>
      </c>
      <c r="F36" s="247">
        <f>fed1!B37</f>
        <v>15860347.100000001</v>
      </c>
      <c r="G36" s="246">
        <v>305965</v>
      </c>
      <c r="H36" s="163"/>
      <c r="I36" s="162">
        <f>IF(B36&lt;&gt;0,((+C36+D36)/B36*100),(IF(C36&lt;&gt;0,1,0)))</f>
        <v>38.129105752559376</v>
      </c>
      <c r="J36" s="162">
        <f t="shared" si="5"/>
        <v>54.569959841024094</v>
      </c>
      <c r="K36" s="162">
        <f t="shared" si="5"/>
        <v>7.16275629987983</v>
      </c>
      <c r="L36" s="162">
        <f t="shared" si="5"/>
        <v>0.13817810653669313</v>
      </c>
      <c r="M36" s="62"/>
      <c r="N36" s="87"/>
      <c r="Q36" s="88"/>
    </row>
    <row r="37" spans="1:17" ht="12.75">
      <c r="A37" s="159" t="s">
        <v>23</v>
      </c>
      <c r="B37" s="160">
        <f t="shared" si="1"/>
        <v>164038849.34</v>
      </c>
      <c r="C37" s="246">
        <v>48329815</v>
      </c>
      <c r="D37" s="246">
        <v>2717166.28</v>
      </c>
      <c r="E37" s="161">
        <f>state1!C38</f>
        <v>97814717.04</v>
      </c>
      <c r="F37" s="247">
        <f>fed1!B38</f>
        <v>14705747.83</v>
      </c>
      <c r="G37" s="246">
        <v>471403.19</v>
      </c>
      <c r="H37" s="163"/>
      <c r="I37" s="162">
        <f>IF(B37&lt;&gt;0,((+C37+D37)/B37*100),(IF(C37&lt;&gt;0,1,0)))</f>
        <v>31.118836474033024</v>
      </c>
      <c r="J37" s="162">
        <f t="shared" si="5"/>
        <v>59.62899485917597</v>
      </c>
      <c r="K37" s="162">
        <f t="shared" si="5"/>
        <v>8.964795771957467</v>
      </c>
      <c r="L37" s="162">
        <f t="shared" si="5"/>
        <v>0.2873728948335477</v>
      </c>
      <c r="M37" s="62"/>
      <c r="N37" s="87"/>
      <c r="Q37" s="88"/>
    </row>
    <row r="38" spans="1:17" ht="12.75">
      <c r="A38" s="166" t="s">
        <v>24</v>
      </c>
      <c r="B38" s="167">
        <f t="shared" si="1"/>
        <v>90085562.03</v>
      </c>
      <c r="C38" s="249">
        <v>61150026</v>
      </c>
      <c r="D38" s="249">
        <v>950034.39</v>
      </c>
      <c r="E38" s="168">
        <f>state1!C39</f>
        <v>20213947.61</v>
      </c>
      <c r="F38" s="168">
        <f>fed1!B39</f>
        <v>7771554.030000001</v>
      </c>
      <c r="G38" s="249">
        <v>0</v>
      </c>
      <c r="H38" s="167"/>
      <c r="I38" s="170">
        <f>IF(B38&lt;&gt;0,((+C38+D38)/B38*100),(IF(C38&lt;&gt;0,1,0)))</f>
        <v>68.9345317835944</v>
      </c>
      <c r="J38" s="170">
        <f t="shared" si="5"/>
        <v>22.438609644538175</v>
      </c>
      <c r="K38" s="170">
        <f t="shared" si="5"/>
        <v>8.626858571867425</v>
      </c>
      <c r="L38" s="170">
        <f t="shared" si="5"/>
        <v>0</v>
      </c>
      <c r="M38" s="62"/>
      <c r="N38" s="87"/>
      <c r="Q38" s="88"/>
    </row>
    <row r="39" spans="1:17" ht="12.75">
      <c r="A39" s="150"/>
      <c r="B39" s="160"/>
      <c r="C39" s="246"/>
      <c r="D39" s="246"/>
      <c r="E39" s="161"/>
      <c r="F39" s="161"/>
      <c r="G39" s="246"/>
      <c r="H39" s="160"/>
      <c r="I39" s="162"/>
      <c r="J39" s="162"/>
      <c r="K39" s="162"/>
      <c r="L39" s="162"/>
      <c r="M39" s="62"/>
      <c r="N39" s="87"/>
      <c r="Q39" s="88"/>
    </row>
    <row r="40" spans="1:12" ht="12.75">
      <c r="A40" s="241" t="s">
        <v>274</v>
      </c>
      <c r="C40" s="159"/>
      <c r="D40" s="163"/>
      <c r="E40" s="159"/>
      <c r="F40" s="159"/>
      <c r="G40" s="159"/>
      <c r="H40" s="159"/>
      <c r="I40" s="250"/>
      <c r="J40" s="250"/>
      <c r="K40" s="250"/>
      <c r="L40" s="159"/>
    </row>
    <row r="41" spans="1:256" ht="12.75">
      <c r="A41" s="60" t="s">
        <v>267</v>
      </c>
      <c r="B41" s="60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</row>
    <row r="42" spans="1:12" ht="12.75">
      <c r="A42" s="59" t="s">
        <v>266</v>
      </c>
      <c r="C42" s="159"/>
      <c r="D42" s="163"/>
      <c r="E42" s="159"/>
      <c r="F42" s="159"/>
      <c r="G42" s="159"/>
      <c r="H42" s="159"/>
      <c r="I42" s="159"/>
      <c r="J42" s="159"/>
      <c r="K42" s="159"/>
      <c r="L42" s="159"/>
    </row>
    <row r="43" spans="1:12" ht="12.75">
      <c r="A43" s="172"/>
      <c r="C43" s="159"/>
      <c r="D43" s="163"/>
      <c r="E43" s="159"/>
      <c r="F43" s="159"/>
      <c r="G43" s="159"/>
      <c r="H43" s="159"/>
      <c r="I43" s="159"/>
      <c r="J43" s="159"/>
      <c r="K43" s="159"/>
      <c r="L43" s="159"/>
    </row>
    <row r="44" spans="1:12" ht="12.75">
      <c r="A44" s="172"/>
      <c r="C44" s="73"/>
      <c r="D44" s="163"/>
      <c r="E44" s="159"/>
      <c r="F44" s="159"/>
      <c r="G44" s="159"/>
      <c r="H44" s="159"/>
      <c r="I44" s="159"/>
      <c r="J44" s="159"/>
      <c r="K44" s="159"/>
      <c r="L44" s="159"/>
    </row>
    <row r="45" spans="3:12" ht="12.75">
      <c r="C45" s="159"/>
      <c r="D45" s="163"/>
      <c r="E45" s="159"/>
      <c r="F45" s="159"/>
      <c r="G45" s="159"/>
      <c r="H45" s="159"/>
      <c r="I45" s="159"/>
      <c r="J45" s="159"/>
      <c r="K45" s="159"/>
      <c r="L45" s="159"/>
    </row>
    <row r="46" spans="3:12" ht="12.75">
      <c r="C46" s="159"/>
      <c r="D46" s="163"/>
      <c r="E46" s="159"/>
      <c r="F46" s="159"/>
      <c r="G46" s="159"/>
      <c r="H46" s="159"/>
      <c r="I46" s="159"/>
      <c r="J46" s="159"/>
      <c r="K46" s="159"/>
      <c r="L46" s="159"/>
    </row>
    <row r="47" spans="3:12" ht="12.75">
      <c r="C47" s="159"/>
      <c r="D47" s="163"/>
      <c r="E47" s="159"/>
      <c r="F47" s="159"/>
      <c r="G47" s="159"/>
      <c r="H47" s="159"/>
      <c r="I47" s="159"/>
      <c r="J47" s="159"/>
      <c r="K47" s="159"/>
      <c r="L47" s="159"/>
    </row>
  </sheetData>
  <sheetProtection password="CAF5" sheet="1" objects="1" scenarios="1"/>
  <mergeCells count="6">
    <mergeCell ref="C7:D7"/>
    <mergeCell ref="C6:F6"/>
    <mergeCell ref="I6:L6"/>
    <mergeCell ref="A1:L1"/>
    <mergeCell ref="A3:L3"/>
    <mergeCell ref="A4:L4"/>
  </mergeCells>
  <printOptions/>
  <pageMargins left="0.69" right="0.24" top="1" bottom="1" header="0.5" footer="0.5"/>
  <pageSetup fitToHeight="1" fitToWidth="1" horizontalDpi="600" verticalDpi="600" orientation="landscape" scale="86" r:id="rId1"/>
  <headerFooter alignWithMargins="0">
    <oddFooter>&amp;L&amp;"Arial,Italic"&amp;9MSDE-DBS  10 / 2008&amp;C- 2 -&amp;R&amp;"Arial,Italic"&amp;9Selected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14.140625" style="0" customWidth="1"/>
    <col min="2" max="2" width="16.421875" style="0" customWidth="1"/>
    <col min="3" max="3" width="16.140625" style="0" customWidth="1"/>
    <col min="4" max="4" width="14.57421875" style="0" customWidth="1"/>
    <col min="5" max="5" width="15.28125" style="0" customWidth="1"/>
    <col min="6" max="6" width="2.7109375" style="0" customWidth="1"/>
    <col min="7" max="7" width="13.00390625" style="0" customWidth="1"/>
    <col min="8" max="8" width="11.7109375" style="0" customWidth="1"/>
    <col min="9" max="9" width="12.7109375" style="0" customWidth="1"/>
    <col min="10" max="10" width="13.140625" style="0" customWidth="1"/>
  </cols>
  <sheetData>
    <row r="1" spans="1:10" ht="12.75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</row>
    <row r="3" spans="1:10" ht="12.75">
      <c r="A3" s="411" t="s">
        <v>116</v>
      </c>
      <c r="B3" s="411"/>
      <c r="C3" s="411"/>
      <c r="D3" s="411"/>
      <c r="E3" s="411"/>
      <c r="F3" s="411"/>
      <c r="G3" s="411"/>
      <c r="H3" s="411"/>
      <c r="I3" s="411"/>
      <c r="J3" s="411"/>
    </row>
    <row r="4" spans="1:10" ht="12.75">
      <c r="A4" s="411" t="s">
        <v>281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ht="13.5" thickBo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5" customHeight="1" thickTop="1">
      <c r="A6" s="3"/>
      <c r="B6" s="482" t="s">
        <v>204</v>
      </c>
      <c r="C6" s="482"/>
      <c r="D6" s="482"/>
      <c r="E6" s="482"/>
      <c r="F6" s="382"/>
      <c r="G6" s="388" t="s">
        <v>205</v>
      </c>
      <c r="H6" s="388"/>
      <c r="I6" s="388"/>
      <c r="J6" s="388"/>
    </row>
    <row r="7" spans="1:10" ht="12.75">
      <c r="A7" s="3" t="s">
        <v>85</v>
      </c>
      <c r="B7" s="4"/>
      <c r="C7" s="122" t="s">
        <v>118</v>
      </c>
      <c r="D7" s="4" t="s">
        <v>36</v>
      </c>
      <c r="E7" s="4"/>
      <c r="F7" s="4"/>
      <c r="G7" s="4"/>
      <c r="H7" s="4"/>
      <c r="I7" s="4" t="s">
        <v>36</v>
      </c>
      <c r="J7" s="4"/>
    </row>
    <row r="8" spans="1:10" ht="12.75">
      <c r="A8" s="3" t="s">
        <v>35</v>
      </c>
      <c r="B8" s="4" t="s">
        <v>117</v>
      </c>
      <c r="C8" s="121" t="s">
        <v>63</v>
      </c>
      <c r="D8" s="4" t="s">
        <v>43</v>
      </c>
      <c r="E8" s="4" t="s">
        <v>45</v>
      </c>
      <c r="F8" s="4"/>
      <c r="G8" s="4" t="s">
        <v>117</v>
      </c>
      <c r="H8" s="4" t="s">
        <v>118</v>
      </c>
      <c r="I8" s="4" t="s">
        <v>43</v>
      </c>
      <c r="J8" s="4" t="s">
        <v>45</v>
      </c>
    </row>
    <row r="9" spans="1:10" ht="13.5" thickBot="1">
      <c r="A9" s="7" t="s">
        <v>144</v>
      </c>
      <c r="B9" s="8" t="s">
        <v>49</v>
      </c>
      <c r="C9" s="372" t="s">
        <v>282</v>
      </c>
      <c r="D9" s="8" t="s">
        <v>44</v>
      </c>
      <c r="E9" s="8" t="s">
        <v>42</v>
      </c>
      <c r="F9" s="8"/>
      <c r="G9" s="8" t="s">
        <v>49</v>
      </c>
      <c r="H9" s="8" t="s">
        <v>127</v>
      </c>
      <c r="I9" s="8" t="s">
        <v>44</v>
      </c>
      <c r="J9" s="8" t="s">
        <v>42</v>
      </c>
    </row>
    <row r="10" spans="1:10" ht="12.75">
      <c r="A10" s="3" t="s">
        <v>0</v>
      </c>
      <c r="B10" s="11">
        <f>SUM(B12:B39)</f>
        <v>5549919219.120001</v>
      </c>
      <c r="C10" s="11">
        <f>SUM(C12:C39)</f>
        <v>4911700163.09</v>
      </c>
      <c r="D10" s="11">
        <f>SUM(D12:D39)</f>
        <v>321472951.98</v>
      </c>
      <c r="E10" s="11">
        <f>SUM(E12:E39)</f>
        <v>316746104.05</v>
      </c>
      <c r="F10" s="11"/>
      <c r="G10" s="38">
        <f>+B10/(table11!$B9*1000)</f>
        <v>0.010138997226739051</v>
      </c>
      <c r="H10" s="38">
        <f>+C10/(table11!$B9*1000)</f>
        <v>0.008973052105079024</v>
      </c>
      <c r="I10" s="38">
        <f>+D10/(table11!$B9*1000)</f>
        <v>0.0005872902361115179</v>
      </c>
      <c r="J10" s="38">
        <f>+E10/(table11!$B9*1000)</f>
        <v>0.0005786548855485081</v>
      </c>
    </row>
    <row r="11" spans="1:6" ht="12.75">
      <c r="A11" s="3"/>
      <c r="C11" s="4"/>
      <c r="D11" s="4"/>
      <c r="E11" s="4"/>
      <c r="F11" s="4"/>
    </row>
    <row r="12" spans="1:10" ht="12.75">
      <c r="A12" s="3" t="s">
        <v>1</v>
      </c>
      <c r="B12" s="1">
        <f aca="true" t="shared" si="0" ref="B12:B39">SUM(C12:E12)</f>
        <v>27485720.220000003</v>
      </c>
      <c r="C12" s="44">
        <f>'table 2a'!C11</f>
        <v>27388999.8</v>
      </c>
      <c r="D12" s="2">
        <f>+table4!$C11</f>
        <v>96720.42</v>
      </c>
      <c r="E12" s="2">
        <f>+table5!$D11</f>
        <v>0</v>
      </c>
      <c r="F12" s="2"/>
      <c r="G12" s="37">
        <f>+B12/(table11!$B11*1000)*100</f>
        <v>0.9393266012988579</v>
      </c>
      <c r="H12" s="37">
        <f>+C12/(table11!$B11*1000)*100</f>
        <v>0.9360211735106245</v>
      </c>
      <c r="I12" s="37">
        <f>+D12/(table11!$B11*1000)*100</f>
        <v>0.0033054277882334526</v>
      </c>
      <c r="J12" s="37">
        <f>+E12/(table11!$B11*1000)*100</f>
        <v>0</v>
      </c>
    </row>
    <row r="13" spans="1:10" ht="12.75">
      <c r="A13" s="3" t="s">
        <v>2</v>
      </c>
      <c r="B13" s="1">
        <f t="shared" si="0"/>
        <v>562841314</v>
      </c>
      <c r="C13" s="44">
        <f>'table 2a'!C12</f>
        <v>488254350</v>
      </c>
      <c r="D13" s="2">
        <f>+table4!$C12</f>
        <v>45924392</v>
      </c>
      <c r="E13" s="2">
        <f>+table5!$C12</f>
        <v>28662572</v>
      </c>
      <c r="F13" s="2"/>
      <c r="G13" s="37">
        <f>+B13/(table11!$B12*1000)*100</f>
        <v>0.9253196787567983</v>
      </c>
      <c r="H13" s="37">
        <f>+C13/(table11!$B12*1000)*100</f>
        <v>0.8026975757746336</v>
      </c>
      <c r="I13" s="37">
        <f>+D13/(table11!$B12*1000)*100</f>
        <v>0.07550039877232835</v>
      </c>
      <c r="J13" s="37">
        <f>+E13/(table11!$B12*1000)*100</f>
        <v>0.047121704209836315</v>
      </c>
    </row>
    <row r="14" spans="1:10" ht="12.75">
      <c r="A14" s="3" t="s">
        <v>3</v>
      </c>
      <c r="B14" s="1">
        <f t="shared" si="0"/>
        <v>232028114.25</v>
      </c>
      <c r="C14" s="44">
        <f>'table 2a'!C13</f>
        <v>200176918.64</v>
      </c>
      <c r="D14" s="2">
        <f>+table4!$C13</f>
        <v>24083453.55</v>
      </c>
      <c r="E14" s="2">
        <f>+table5!$C13</f>
        <v>7767742.06</v>
      </c>
      <c r="F14" s="2"/>
      <c r="G14" s="37">
        <f>+B14/(table11!$B13*1000)*100</f>
        <v>0.918681352443162</v>
      </c>
      <c r="H14" s="37">
        <f>+C14/(table11!$B13*1000)*100</f>
        <v>0.7925712060304778</v>
      </c>
      <c r="I14" s="37">
        <f>+D14/(table11!$B13*1000)*100</f>
        <v>0.09535490882358051</v>
      </c>
      <c r="J14" s="37">
        <f>+E14/(table11!$B13*1000)*100</f>
        <v>0.030755237589103635</v>
      </c>
    </row>
    <row r="15" spans="1:10" ht="12.75">
      <c r="A15" s="3" t="s">
        <v>4</v>
      </c>
      <c r="B15" s="1">
        <f t="shared" si="0"/>
        <v>653392387.17</v>
      </c>
      <c r="C15" s="44">
        <f>'table 2a'!C14</f>
        <v>607173546.17</v>
      </c>
      <c r="D15" s="2">
        <f>+table4!$C14</f>
        <v>21525221</v>
      </c>
      <c r="E15" s="2">
        <f>+table5!$C14</f>
        <v>24693620</v>
      </c>
      <c r="F15" s="2"/>
      <c r="G15" s="37">
        <f>+B15/(table11!$B14*1000)*100</f>
        <v>1.0476806345683447</v>
      </c>
      <c r="H15" s="37">
        <f>+C15/(table11!$B14*1000)*100</f>
        <v>0.9735711321947047</v>
      </c>
      <c r="I15" s="37">
        <f>+D15/(table11!$B14*1000)*100</f>
        <v>0.03451456986540675</v>
      </c>
      <c r="J15" s="37">
        <f>+E15/(table11!$B14*1000)*100</f>
        <v>0.03959493250823326</v>
      </c>
    </row>
    <row r="16" spans="1:10" ht="12.75">
      <c r="A16" s="3" t="s">
        <v>5</v>
      </c>
      <c r="B16" s="1">
        <f t="shared" si="0"/>
        <v>99775266.98</v>
      </c>
      <c r="C16" s="44">
        <f>'table 2a'!C15</f>
        <v>90378744</v>
      </c>
      <c r="D16" s="2">
        <f>+table4!$C15</f>
        <v>4105626.98</v>
      </c>
      <c r="E16" s="2">
        <f>+table5!$C15</f>
        <v>5290896</v>
      </c>
      <c r="F16" s="2"/>
      <c r="G16" s="37">
        <f>+B16/(table11!$B15*1000)*100</f>
        <v>1.0241325841421078</v>
      </c>
      <c r="H16" s="37">
        <f>+C16/(table11!$B15*1000)*100</f>
        <v>0.927682976411295</v>
      </c>
      <c r="I16" s="37">
        <f>+D16/(table11!$B15*1000)*100</f>
        <v>0.042141770158267707</v>
      </c>
      <c r="J16" s="37">
        <f>+E16/(table11!$B15*1000)*100</f>
        <v>0.054307837572544884</v>
      </c>
    </row>
    <row r="17" spans="1:10" ht="12.75">
      <c r="A17" s="3"/>
      <c r="B17" s="1"/>
      <c r="C17" s="2"/>
      <c r="D17" s="2"/>
      <c r="E17" s="2"/>
      <c r="F17" s="2"/>
      <c r="G17" s="37"/>
      <c r="H17" s="37"/>
      <c r="I17" s="37"/>
      <c r="J17" s="37"/>
    </row>
    <row r="18" spans="1:10" ht="12.75">
      <c r="A18" s="3" t="s">
        <v>6</v>
      </c>
      <c r="B18" s="1">
        <f t="shared" si="0"/>
        <v>15501631.34</v>
      </c>
      <c r="C18" s="44">
        <f>'table 2a'!C17</f>
        <v>11850000</v>
      </c>
      <c r="D18" s="2">
        <f>+table4!$C17</f>
        <v>3651631.34</v>
      </c>
      <c r="E18" s="2">
        <f>+table5!$C17</f>
        <v>0</v>
      </c>
      <c r="F18" s="2"/>
      <c r="G18" s="37">
        <f>+B18/(table11!$B17*1000)*100</f>
        <v>0.7420542178709976</v>
      </c>
      <c r="H18" s="37">
        <f>+C18/(table11!$B17*1000)*100</f>
        <v>0.5672527161113174</v>
      </c>
      <c r="I18" s="37">
        <f>+D18/(table11!$B17*1000)*100</f>
        <v>0.17480150175968015</v>
      </c>
      <c r="J18" s="37">
        <f>+E18/(table11!$B17*1000)*100</f>
        <v>0</v>
      </c>
    </row>
    <row r="19" spans="1:10" ht="12.75">
      <c r="A19" s="3" t="s">
        <v>7</v>
      </c>
      <c r="B19" s="1">
        <f t="shared" si="0"/>
        <v>180040854.85</v>
      </c>
      <c r="C19" s="44">
        <f>'table 2a'!C18</f>
        <v>144998072</v>
      </c>
      <c r="D19" s="2">
        <f>+table4!$C18</f>
        <v>25774000</v>
      </c>
      <c r="E19" s="2">
        <f>+table5!$C18</f>
        <v>9268782.85</v>
      </c>
      <c r="F19" s="2"/>
      <c r="G19" s="37">
        <f>+B19/(table11!$B18*1000)*100</f>
        <v>1.1650214570904134</v>
      </c>
      <c r="H19" s="37">
        <f>+C19/(table11!$B18*1000)*100</f>
        <v>0.9382640693273773</v>
      </c>
      <c r="I19" s="37">
        <f>+D19/(table11!$B18*1000)*100</f>
        <v>0.16678027362214737</v>
      </c>
      <c r="J19" s="37">
        <f>+E19/(table11!$B18*1000)*100</f>
        <v>0.05997711414088876</v>
      </c>
    </row>
    <row r="20" spans="1:10" ht="12.75">
      <c r="A20" s="3" t="s">
        <v>8</v>
      </c>
      <c r="B20" s="1">
        <f t="shared" si="0"/>
        <v>88968785.97</v>
      </c>
      <c r="C20" s="44">
        <f>'table 2a'!C19</f>
        <v>65715090</v>
      </c>
      <c r="D20" s="2">
        <f>+table4!$C19</f>
        <v>23253695.97</v>
      </c>
      <c r="E20" s="2">
        <f>+table5!$C19</f>
        <v>0</v>
      </c>
      <c r="F20" s="2"/>
      <c r="G20" s="37">
        <f>+B20/(table11!$B19*1000)*100</f>
        <v>1.1216433726764852</v>
      </c>
      <c r="H20" s="37">
        <f>+C20/(table11!$B19*1000)*100</f>
        <v>0.8284803977003035</v>
      </c>
      <c r="I20" s="37">
        <f>+D20/(table11!$B19*1000)*100</f>
        <v>0.29316297497618193</v>
      </c>
      <c r="J20" s="37">
        <f>+E20/(table11!$B19*1000)*100</f>
        <v>0</v>
      </c>
    </row>
    <row r="21" spans="1:10" ht="12.75">
      <c r="A21" s="3" t="s">
        <v>270</v>
      </c>
      <c r="B21" s="1">
        <f t="shared" si="0"/>
        <v>148542703.93</v>
      </c>
      <c r="C21" s="44">
        <f>'table 2a'!C20+218397.5</f>
        <v>124224397.5</v>
      </c>
      <c r="D21" s="2">
        <f>+table4!$C20</f>
        <v>19972988.43</v>
      </c>
      <c r="E21" s="2">
        <f>+table5!$C20</f>
        <v>4345318</v>
      </c>
      <c r="F21" s="2"/>
      <c r="G21" s="37">
        <f>+B21/(table11!$B20*1000)*100</f>
        <v>1.1164758308966194</v>
      </c>
      <c r="H21" s="37">
        <f>+C21/(table11!$B20*1000)*100</f>
        <v>0.9336947136885503</v>
      </c>
      <c r="I21" s="37">
        <f>+D21/(table11!$B20*1000)*100</f>
        <v>0.1501208626401555</v>
      </c>
      <c r="J21" s="37">
        <f>+E21/(table11!$B20*1000)*100</f>
        <v>0.032660254567913716</v>
      </c>
    </row>
    <row r="22" spans="1:10" ht="12.75">
      <c r="A22" s="3" t="s">
        <v>10</v>
      </c>
      <c r="B22" s="1">
        <f t="shared" si="0"/>
        <v>19980455.14</v>
      </c>
      <c r="C22" s="44">
        <f>'table 2a'!C21</f>
        <v>16344830</v>
      </c>
      <c r="D22" s="2">
        <f>+table4!$C21</f>
        <v>2024465</v>
      </c>
      <c r="E22" s="2">
        <f>+table5!$C21</f>
        <v>1611160.14</v>
      </c>
      <c r="F22" s="2"/>
      <c r="G22" s="37">
        <f>+B22/(table11!$B21*1000)*100</f>
        <v>0.8322009940368618</v>
      </c>
      <c r="H22" s="37">
        <f>+C22/(table11!$B21*1000)*100</f>
        <v>0.6807744707542993</v>
      </c>
      <c r="I22" s="37">
        <f>+D22/(table11!$B21*1000)*100</f>
        <v>0.08432049087910994</v>
      </c>
      <c r="J22" s="37">
        <f>+E22/(table11!$B21*1000)*100</f>
        <v>0.06710603240345252</v>
      </c>
    </row>
    <row r="23" spans="1:10" ht="12.75">
      <c r="A23" s="3"/>
      <c r="B23" s="1"/>
      <c r="C23" s="2"/>
      <c r="D23" s="2"/>
      <c r="E23" s="2"/>
      <c r="F23" s="2"/>
      <c r="G23" s="37"/>
      <c r="H23" s="37"/>
      <c r="I23" s="37"/>
      <c r="J23" s="37"/>
    </row>
    <row r="24" spans="1:10" ht="12.75">
      <c r="A24" s="3" t="s">
        <v>11</v>
      </c>
      <c r="B24" s="1">
        <f t="shared" si="0"/>
        <v>247674803.06</v>
      </c>
      <c r="C24" s="44">
        <f>'table 2a'!C23</f>
        <v>205597129.06</v>
      </c>
      <c r="D24" s="2">
        <f>+table4!$C23</f>
        <v>19955167</v>
      </c>
      <c r="E24" s="2">
        <f>+table5!$C23</f>
        <v>22122507</v>
      </c>
      <c r="F24" s="2"/>
      <c r="G24" s="37">
        <f>+B24/(table11!$B23*1000)*100</f>
        <v>1.111002520307913</v>
      </c>
      <c r="H24" s="37">
        <f>+C24/(table11!$B23*1000)*100</f>
        <v>0.9222533973243783</v>
      </c>
      <c r="I24" s="37">
        <f>+D24/(table11!$B23*1000)*100</f>
        <v>0.08951350947393097</v>
      </c>
      <c r="J24" s="37">
        <f>+E24/(table11!$B23*1000)*100</f>
        <v>0.09923561350960403</v>
      </c>
    </row>
    <row r="25" spans="1:10" ht="12.75">
      <c r="A25" s="3" t="s">
        <v>12</v>
      </c>
      <c r="B25" s="1">
        <f t="shared" si="0"/>
        <v>19990279.099999998</v>
      </c>
      <c r="C25" s="44">
        <f>'table 2a'!C24</f>
        <v>19161102.38</v>
      </c>
      <c r="D25" s="2">
        <f>+table4!$C24</f>
        <v>829176.72</v>
      </c>
      <c r="E25" s="2">
        <f>+table5!$C24</f>
        <v>0</v>
      </c>
      <c r="F25" s="2"/>
      <c r="G25" s="37">
        <f>+B25/(table11!$B24*1000)*100</f>
        <v>0.5928373290723188</v>
      </c>
      <c r="H25" s="37">
        <f>+C25/(table11!$B24*1000)*100</f>
        <v>0.5682470314804385</v>
      </c>
      <c r="I25" s="37">
        <f>+D25/(table11!$B24*1000)*100</f>
        <v>0.024590297591880344</v>
      </c>
      <c r="J25" s="37">
        <f>+E25/(table11!$B24*1000)*100</f>
        <v>0</v>
      </c>
    </row>
    <row r="26" spans="1:10" ht="12.75">
      <c r="A26" s="3" t="s">
        <v>13</v>
      </c>
      <c r="B26" s="1">
        <f t="shared" si="0"/>
        <v>236820823.18</v>
      </c>
      <c r="C26" s="44">
        <f>'table 2a'!C25</f>
        <v>189414800</v>
      </c>
      <c r="D26" s="2">
        <f>+table4!$C25</f>
        <v>39514944.18</v>
      </c>
      <c r="E26" s="2">
        <f>+table5!$C25</f>
        <v>7891079</v>
      </c>
      <c r="F26" s="2"/>
      <c r="G26" s="37">
        <f>+B26/(table11!$B25*1000)*100</f>
        <v>1.1884800399832163</v>
      </c>
      <c r="H26" s="37">
        <f>+C26/(table11!$B25*1000)*100</f>
        <v>0.9505739658134267</v>
      </c>
      <c r="I26" s="37">
        <f>+D26/(table11!$B25*1000)*100</f>
        <v>0.19830486951430823</v>
      </c>
      <c r="J26" s="37">
        <f>+E26/(table11!$B25*1000)*100</f>
        <v>0.03960120465548125</v>
      </c>
    </row>
    <row r="27" spans="1:10" ht="12.75">
      <c r="A27" s="3" t="s">
        <v>14</v>
      </c>
      <c r="B27" s="1">
        <f t="shared" si="0"/>
        <v>429956727</v>
      </c>
      <c r="C27" s="44">
        <f>'table 2a'!C26</f>
        <v>393710890</v>
      </c>
      <c r="D27" s="2">
        <f>+table4!$C27</f>
        <v>1899583</v>
      </c>
      <c r="E27" s="2">
        <f>+table5!$C26</f>
        <v>34346254</v>
      </c>
      <c r="F27" s="2"/>
      <c r="G27" s="37">
        <f>+B27/(table11!$B26*1000)*100</f>
        <v>1.1869114193667731</v>
      </c>
      <c r="H27" s="37">
        <f>+C27/(table11!$B26*1000)*100</f>
        <v>1.0868534480914298</v>
      </c>
      <c r="I27" s="37">
        <f>+D27/(table11!$B26*1000)*100</f>
        <v>0.005243869006229069</v>
      </c>
      <c r="J27" s="37">
        <f>+E27/(table11!$B26*1000)*100</f>
        <v>0.09481410226911442</v>
      </c>
    </row>
    <row r="28" spans="1:10" ht="12.75">
      <c r="A28" s="3" t="s">
        <v>15</v>
      </c>
      <c r="B28" s="1">
        <f t="shared" si="0"/>
        <v>15174800</v>
      </c>
      <c r="C28" s="44">
        <f>'table 2a'!C27</f>
        <v>15174800</v>
      </c>
      <c r="D28" s="2">
        <f>+table4!$C28</f>
        <v>0</v>
      </c>
      <c r="E28" s="2">
        <f>+table5!$C27</f>
        <v>0</v>
      </c>
      <c r="F28" s="2"/>
      <c r="G28" s="37">
        <f>+B28/(table11!$B27*1000)*100</f>
        <v>0.6957355775667136</v>
      </c>
      <c r="H28" s="37">
        <f>+C28/(table11!$B27*1000)*100</f>
        <v>0.6957355775667136</v>
      </c>
      <c r="I28" s="37">
        <f>+D28/(table11!$B27*1000)*100</f>
        <v>0</v>
      </c>
      <c r="J28" s="37">
        <f>+E28/(table11!$B27*1000)*100</f>
        <v>0</v>
      </c>
    </row>
    <row r="29" spans="1:10" ht="12.75">
      <c r="A29" s="3"/>
      <c r="B29" s="1"/>
      <c r="C29" s="2"/>
      <c r="D29" s="2"/>
      <c r="E29" s="2"/>
      <c r="F29" s="2"/>
      <c r="G29" s="37"/>
      <c r="H29" s="37"/>
      <c r="I29" s="37"/>
      <c r="J29" s="37"/>
    </row>
    <row r="30" spans="1:10" ht="12.75">
      <c r="A30" s="3" t="s">
        <v>16</v>
      </c>
      <c r="B30" s="1">
        <f t="shared" si="0"/>
        <v>1530856163.17</v>
      </c>
      <c r="C30" s="44">
        <f>'table 2a'!C29</f>
        <v>1381701414.89</v>
      </c>
      <c r="D30" s="2">
        <f>+table4!$C30</f>
        <v>50666336.28</v>
      </c>
      <c r="E30" s="2">
        <f>+table5!$C29</f>
        <v>98488412</v>
      </c>
      <c r="F30" s="2"/>
      <c r="G30" s="37">
        <f>+B30/(table11!$B29*1000)*100</f>
        <v>1.049860279814074</v>
      </c>
      <c r="H30" s="37">
        <f>+C30/(table11!$B29*1000)*100</f>
        <v>0.9475700388808052</v>
      </c>
      <c r="I30" s="37">
        <f>+D30/(table11!$B29*1000)*100</f>
        <v>0.034746944398699714</v>
      </c>
      <c r="J30" s="37">
        <f>+E30/(table11!$B30*1000)*100</f>
        <v>0.15701328758572036</v>
      </c>
    </row>
    <row r="31" spans="1:10" ht="12.75">
      <c r="A31" s="3" t="s">
        <v>17</v>
      </c>
      <c r="B31" s="1">
        <f t="shared" si="0"/>
        <v>649717595.04</v>
      </c>
      <c r="C31" s="44">
        <f>'table 2a'!C30</f>
        <v>591196334.4</v>
      </c>
      <c r="D31" s="2">
        <f>+table4!$C31</f>
        <v>14636402.64</v>
      </c>
      <c r="E31" s="2">
        <f>+table5!$C30</f>
        <v>43884858</v>
      </c>
      <c r="F31" s="2"/>
      <c r="G31" s="37">
        <f>+B31/(table11!$B30*1000)*100</f>
        <v>1.0357999842612764</v>
      </c>
      <c r="H31" s="37">
        <f>+C31/(table11!$B30*1000)*100</f>
        <v>0.9425035716158251</v>
      </c>
      <c r="I31" s="37">
        <f>+D31/(table11!$B30*1000)*100</f>
        <v>0.023333808011187313</v>
      </c>
      <c r="J31" s="37">
        <f>+E31/(table11!$B30*1000)*100</f>
        <v>0.06996260463426399</v>
      </c>
    </row>
    <row r="32" spans="1:10" ht="12.75">
      <c r="A32" s="3" t="s">
        <v>18</v>
      </c>
      <c r="B32" s="1">
        <f t="shared" si="0"/>
        <v>52125112.35</v>
      </c>
      <c r="C32" s="44">
        <f>'table 2a'!C31</f>
        <v>39940413</v>
      </c>
      <c r="D32" s="2">
        <f>+table4!$C32</f>
        <v>7410537.35</v>
      </c>
      <c r="E32" s="2">
        <f>+table5!$C31</f>
        <v>4774162</v>
      </c>
      <c r="F32" s="2"/>
      <c r="G32" s="37">
        <f>+B32/(table11!$B31*1000)*100</f>
        <v>0.8442078300617153</v>
      </c>
      <c r="H32" s="37">
        <f>+C32/(table11!$B31*1000)*100</f>
        <v>0.6468668914149347</v>
      </c>
      <c r="I32" s="37">
        <f>+D32/(table11!$B31*1000)*100</f>
        <v>0.12001957163809916</v>
      </c>
      <c r="J32" s="37">
        <f>+E32/(table11!$B31*1000)*100</f>
        <v>0.07732136700868135</v>
      </c>
    </row>
    <row r="33" spans="1:10" ht="12.75">
      <c r="A33" s="3" t="s">
        <v>19</v>
      </c>
      <c r="B33" s="1">
        <f t="shared" si="0"/>
        <v>76204441.26</v>
      </c>
      <c r="C33" s="44">
        <f>'table 2a'!C32</f>
        <v>67811488</v>
      </c>
      <c r="D33" s="2">
        <f>+table4!$C33</f>
        <v>1830703.26</v>
      </c>
      <c r="E33" s="2">
        <f>+table5!$C32</f>
        <v>6562250</v>
      </c>
      <c r="F33" s="2"/>
      <c r="G33" s="37">
        <f>+B33/(table11!$B32*1000)*100</f>
        <v>0.9262394467937198</v>
      </c>
      <c r="H33" s="37">
        <f>+C33/(table11!$B32*1000)*100</f>
        <v>0.8242259124646059</v>
      </c>
      <c r="I33" s="37">
        <f>+D33/(table11!$B32*1000)*100</f>
        <v>0.022251584641903577</v>
      </c>
      <c r="J33" s="37">
        <f>+E33/(table11!$B32*1000)*100</f>
        <v>0.07976194968721023</v>
      </c>
    </row>
    <row r="34" spans="1:10" ht="12.75">
      <c r="A34" s="3" t="s">
        <v>20</v>
      </c>
      <c r="B34" s="1">
        <f t="shared" si="0"/>
        <v>10756415.26</v>
      </c>
      <c r="C34" s="44">
        <f>'table 2a'!C33</f>
        <v>8925712</v>
      </c>
      <c r="D34" s="2">
        <f>+table4!$C33</f>
        <v>1830703.26</v>
      </c>
      <c r="E34" s="2">
        <f>+table5!$C33</f>
        <v>0</v>
      </c>
      <c r="F34" s="2"/>
      <c r="G34" s="37">
        <f>+B34/(table11!$B33*1000)*100</f>
        <v>0.9113173398626637</v>
      </c>
      <c r="H34" s="37">
        <f>+C34/(table11!$B33*1000)*100</f>
        <v>0.7562144003931154</v>
      </c>
      <c r="I34" s="37">
        <f>+D34/(table11!$B33*1000)*100</f>
        <v>0.15510293946954837</v>
      </c>
      <c r="J34" s="37">
        <f>+E34/(table11!$B33*1000)*100</f>
        <v>0</v>
      </c>
    </row>
    <row r="35" spans="1:10" ht="12.75">
      <c r="A35" s="3"/>
      <c r="B35" s="1"/>
      <c r="C35" s="2"/>
      <c r="D35" s="2"/>
      <c r="E35" s="2"/>
      <c r="F35" s="2"/>
      <c r="G35" s="37"/>
      <c r="H35" s="37"/>
      <c r="I35" s="37"/>
      <c r="J35" s="37"/>
    </row>
    <row r="36" spans="1:10" ht="12.75">
      <c r="A36" s="3" t="s">
        <v>21</v>
      </c>
      <c r="B36" s="1">
        <f t="shared" si="0"/>
        <v>31904451.47</v>
      </c>
      <c r="C36" s="44">
        <f>'table 2a'!C35</f>
        <v>29848888</v>
      </c>
      <c r="D36" s="2">
        <f>+table4!$C35</f>
        <v>39823.47</v>
      </c>
      <c r="E36" s="2">
        <f>+table5!$C35</f>
        <v>2015740</v>
      </c>
      <c r="F36" s="2"/>
      <c r="G36" s="37">
        <f>+B36/(table11!$B35*1000)*100</f>
        <v>0.47269635600477666</v>
      </c>
      <c r="H36" s="37">
        <f>+C36/(table11!$B35*1000)*100</f>
        <v>0.4422411274383432</v>
      </c>
      <c r="I36" s="37">
        <f>+D36/(table11!$B35*1000)*100</f>
        <v>0.0005900245352961571</v>
      </c>
      <c r="J36" s="37">
        <f>+E36/(table11!$B35*1000)*100</f>
        <v>0.029865204031137304</v>
      </c>
    </row>
    <row r="37" spans="1:10" ht="12.75">
      <c r="A37" s="3" t="s">
        <v>22</v>
      </c>
      <c r="B37" s="1">
        <f t="shared" si="0"/>
        <v>98684850.25</v>
      </c>
      <c r="C37" s="44">
        <f>'table 2a'!C36</f>
        <v>83232402.25</v>
      </c>
      <c r="D37" s="2">
        <f>+table4!$C36</f>
        <v>10677012</v>
      </c>
      <c r="E37" s="2">
        <f>+table5!$C36</f>
        <v>4775436</v>
      </c>
      <c r="F37" s="2"/>
      <c r="G37" s="37">
        <f>+B37/(table11!$B36*1000)*100</f>
        <v>0.9757087519630272</v>
      </c>
      <c r="H37" s="37">
        <f>+C37/(table11!$B36*1000)*100</f>
        <v>0.8229285763366921</v>
      </c>
      <c r="I37" s="37">
        <f>+D37/(table11!$B36*1000)*100</f>
        <v>0.1055648767447389</v>
      </c>
      <c r="J37" s="37">
        <f>+E37/(table11!$B36*1000)*100</f>
        <v>0.047215298881596174</v>
      </c>
    </row>
    <row r="38" spans="1:10" ht="12.75">
      <c r="A38" s="3" t="s">
        <v>23</v>
      </c>
      <c r="B38" s="1">
        <f t="shared" si="0"/>
        <v>55175278</v>
      </c>
      <c r="C38" s="44">
        <f>'table 2a'!C37</f>
        <v>48329815</v>
      </c>
      <c r="D38" s="2">
        <f>+table4!$C37</f>
        <v>0</v>
      </c>
      <c r="E38" s="2">
        <f>+table5!$C37</f>
        <v>6845463</v>
      </c>
      <c r="F38" s="2"/>
      <c r="G38" s="37">
        <f>+B38/(table11!$B37*1000)*100</f>
        <v>0.9822065829494424</v>
      </c>
      <c r="H38" s="37">
        <f>+C38/(table11!$B37*1000)*100</f>
        <v>0.8603465930108899</v>
      </c>
      <c r="I38" s="37">
        <f>+D38/(table11!$B37*1000)*100</f>
        <v>0</v>
      </c>
      <c r="J38" s="37">
        <f>+E38/(table11!$B37*1000)*100</f>
        <v>0.12185998993855254</v>
      </c>
    </row>
    <row r="39" spans="1:10" ht="12.75">
      <c r="A39" s="13" t="s">
        <v>24</v>
      </c>
      <c r="B39" s="15">
        <f t="shared" si="0"/>
        <v>66320246.13</v>
      </c>
      <c r="C39" s="45">
        <f>'table 2a'!C38</f>
        <v>61150026</v>
      </c>
      <c r="D39" s="14">
        <f>+table4!$C38</f>
        <v>1770368.13</v>
      </c>
      <c r="E39" s="14">
        <f>+table5!$C38</f>
        <v>3399852</v>
      </c>
      <c r="F39" s="14"/>
      <c r="G39" s="36">
        <f>+B39/(table11!$B38*1000)*100</f>
        <v>0.45789192044005517</v>
      </c>
      <c r="H39" s="36">
        <f>+C39/(table11!$B38*1000)*100</f>
        <v>0.42219539995695893</v>
      </c>
      <c r="I39" s="36">
        <f>+D39/(table11!$B38*1000)*100</f>
        <v>0.012223073800760173</v>
      </c>
      <c r="J39" s="36">
        <f>+E39/(table11!$B38*1000)*100</f>
        <v>0.023473446682336103</v>
      </c>
    </row>
    <row r="40" spans="1:10" ht="12.75">
      <c r="A40" s="67" t="s">
        <v>283</v>
      </c>
      <c r="B40" s="1"/>
      <c r="G40" s="37"/>
      <c r="H40" s="37"/>
      <c r="I40" s="37"/>
      <c r="J40" s="37"/>
    </row>
    <row r="41" ht="12.75">
      <c r="A41" s="83"/>
    </row>
  </sheetData>
  <sheetProtection password="CAF5" sheet="1" objects="1" scenarios="1"/>
  <mergeCells count="5">
    <mergeCell ref="G6:J6"/>
    <mergeCell ref="A1:J1"/>
    <mergeCell ref="A3:J3"/>
    <mergeCell ref="A4:J4"/>
    <mergeCell ref="B6:E6"/>
  </mergeCells>
  <printOptions horizontalCentered="1"/>
  <pageMargins left="0.61" right="0.69" top="0.83" bottom="1" header="0.67" footer="0.5"/>
  <pageSetup fitToHeight="1" fitToWidth="1" horizontalDpi="600" verticalDpi="600" orientation="landscape" scale="95" r:id="rId1"/>
  <headerFooter alignWithMargins="0">
    <oddHeader>&amp;R
</oddHeader>
    <oddFooter>&amp;L&amp;"Arial,Italic"&amp;9MSDE-DBS 10 / 2008&amp;C- 20 -&amp;R&amp;"Arial,Italic"&amp;9Selected Financial Data-Part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6"/>
  <sheetViews>
    <sheetView zoomScalePageLayoutView="0" workbookViewId="0" topLeftCell="A10">
      <selection activeCell="E22" sqref="E22"/>
    </sheetView>
  </sheetViews>
  <sheetFormatPr defaultColWidth="9.140625" defaultRowHeight="12.75"/>
  <cols>
    <col min="1" max="1" width="14.140625" style="138" customWidth="1"/>
    <col min="2" max="3" width="17.7109375" style="138" bestFit="1" customWidth="1"/>
    <col min="4" max="4" width="15.00390625" style="138" bestFit="1" customWidth="1"/>
    <col min="5" max="5" width="17.7109375" style="138" bestFit="1" customWidth="1"/>
    <col min="6" max="7" width="16.00390625" style="138" bestFit="1" customWidth="1"/>
    <col min="8" max="8" width="2.7109375" style="138" customWidth="1"/>
    <col min="9" max="12" width="9.140625" style="138" customWidth="1"/>
    <col min="15" max="15" width="15.00390625" style="0" bestFit="1" customWidth="1"/>
  </cols>
  <sheetData>
    <row r="1" spans="1:12" ht="12.75">
      <c r="A1" s="405" t="s">
        <v>120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3" spans="1:12" ht="12.75">
      <c r="A3" s="405" t="s">
        <v>217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1:12" ht="12.75">
      <c r="A4" s="405" t="s">
        <v>145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</row>
    <row r="5" spans="1:12" ht="13.5" thickBot="1">
      <c r="A5" s="24"/>
      <c r="B5" s="24"/>
      <c r="C5" s="24"/>
      <c r="D5" s="24"/>
      <c r="E5" s="24"/>
      <c r="F5" s="24"/>
      <c r="G5" s="24"/>
      <c r="H5" s="24"/>
      <c r="I5" s="53"/>
      <c r="J5" s="24"/>
      <c r="K5" s="24"/>
      <c r="L5" s="24"/>
    </row>
    <row r="6" spans="1:57" ht="15" customHeight="1" thickTop="1">
      <c r="A6" s="174" t="s">
        <v>85</v>
      </c>
      <c r="B6" s="175" t="s">
        <v>47</v>
      </c>
      <c r="C6" s="403" t="s">
        <v>88</v>
      </c>
      <c r="D6" s="403"/>
      <c r="E6" s="404"/>
      <c r="F6" s="404"/>
      <c r="G6" s="174"/>
      <c r="H6" s="174"/>
      <c r="I6" s="403" t="s">
        <v>90</v>
      </c>
      <c r="J6" s="403"/>
      <c r="K6" s="403"/>
      <c r="L6" s="403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12" ht="12.75">
      <c r="A7" s="33" t="s">
        <v>35</v>
      </c>
      <c r="B7" s="176" t="s">
        <v>91</v>
      </c>
      <c r="C7" s="402" t="s">
        <v>85</v>
      </c>
      <c r="D7" s="402"/>
      <c r="E7" s="177"/>
      <c r="F7" s="177"/>
      <c r="G7" s="176" t="s">
        <v>87</v>
      </c>
      <c r="H7" s="176"/>
      <c r="I7" s="178"/>
      <c r="J7" s="178"/>
      <c r="K7" s="178"/>
      <c r="L7" s="178" t="s">
        <v>87</v>
      </c>
    </row>
    <row r="8" spans="1:15" ht="13.5" thickBot="1">
      <c r="A8" s="58" t="s">
        <v>144</v>
      </c>
      <c r="B8" s="179" t="s">
        <v>92</v>
      </c>
      <c r="C8" s="55" t="s">
        <v>265</v>
      </c>
      <c r="D8" s="55" t="s">
        <v>276</v>
      </c>
      <c r="E8" s="55" t="s">
        <v>48</v>
      </c>
      <c r="F8" s="55" t="s">
        <v>55</v>
      </c>
      <c r="G8" s="55" t="s">
        <v>89</v>
      </c>
      <c r="H8" s="55"/>
      <c r="I8" s="179" t="s">
        <v>85</v>
      </c>
      <c r="J8" s="179" t="s">
        <v>48</v>
      </c>
      <c r="K8" s="180" t="s">
        <v>55</v>
      </c>
      <c r="L8" s="55" t="s">
        <v>89</v>
      </c>
      <c r="O8" s="3"/>
    </row>
    <row r="9" spans="1:15" ht="12.75">
      <c r="A9" s="33" t="s">
        <v>0</v>
      </c>
      <c r="B9" s="193">
        <f aca="true" t="shared" si="0" ref="B9:G9">SUM(B11:B38)</f>
        <v>9699891901.25</v>
      </c>
      <c r="C9" s="193">
        <f t="shared" si="0"/>
        <v>4911481765.59</v>
      </c>
      <c r="D9" s="193">
        <f t="shared" si="0"/>
        <v>110773951.10000001</v>
      </c>
      <c r="E9" s="193">
        <f t="shared" si="0"/>
        <v>3972999362.8000007</v>
      </c>
      <c r="F9" s="193">
        <f t="shared" si="0"/>
        <v>674335003.5000002</v>
      </c>
      <c r="G9" s="193">
        <f t="shared" si="0"/>
        <v>30301818.260000005</v>
      </c>
      <c r="H9" s="181"/>
      <c r="I9" s="182">
        <f>IF(B9&lt;&gt;0,((+C9+D9)/B9),(IF(C9&lt;&gt;0,1,0)))</f>
        <v>0.5177640913753684</v>
      </c>
      <c r="J9" s="182">
        <f>IF($B9&lt;&gt;0,(E9/$B9),(IF(E9&lt;&gt;0,1,0)))</f>
        <v>0.40959212775227016</v>
      </c>
      <c r="K9" s="182">
        <f>IF($B9&lt;&gt;0,(F9/$B9),(IF(F9&lt;&gt;0,1,0)))</f>
        <v>0.06951984726892682</v>
      </c>
      <c r="L9" s="182">
        <f>IF($B9&lt;&gt;0,(G9/$B9),(IF(G9&lt;&gt;0,1,0)))</f>
        <v>0.003123933603434806</v>
      </c>
      <c r="O9" s="21"/>
    </row>
    <row r="10" spans="1:15" ht="12.75">
      <c r="A10" s="33"/>
      <c r="B10" s="183"/>
      <c r="C10" s="184"/>
      <c r="D10" s="56"/>
      <c r="E10" s="178"/>
      <c r="F10" s="178"/>
      <c r="G10" s="178"/>
      <c r="H10" s="178"/>
      <c r="I10" s="185"/>
      <c r="J10" s="185"/>
      <c r="K10" s="185"/>
      <c r="L10" s="185"/>
      <c r="O10" s="3"/>
    </row>
    <row r="11" spans="1:15" ht="12.75">
      <c r="A11" s="24" t="s">
        <v>1</v>
      </c>
      <c r="B11" s="194">
        <f aca="true" t="shared" si="1" ref="B11:B38">SUM(C11:G11)</f>
        <v>110208245.89999999</v>
      </c>
      <c r="C11" s="246">
        <f>'table 2a'!C11</f>
        <v>27388999.8</v>
      </c>
      <c r="D11" s="246">
        <v>1067959.58</v>
      </c>
      <c r="E11" s="161">
        <f>state1!C12-state1!H12</f>
        <v>69630814.24</v>
      </c>
      <c r="F11" s="247">
        <f>fed1!B12</f>
        <v>11464744.04</v>
      </c>
      <c r="G11" s="246">
        <f>'table 2a'!G11</f>
        <v>655728.24</v>
      </c>
      <c r="H11" s="160"/>
      <c r="I11" s="162">
        <f aca="true" t="shared" si="2" ref="I11:I38">IF(B11&lt;&gt;0,((+C11+D11)/B11*100),(IF(C11&lt;&gt;0,1,0)))</f>
        <v>25.82108003589957</v>
      </c>
      <c r="J11" s="162">
        <f>IF($B11&lt;&gt;0,(E11/$B11*100),(IF(E11&lt;&gt;0,1,0)))</f>
        <v>63.18112920804595</v>
      </c>
      <c r="K11" s="162">
        <f aca="true" t="shared" si="3" ref="K11:L15">IF($B11&lt;&gt;0,(F11/$B11*100),(IF(F11&lt;&gt;0,1,0)))</f>
        <v>10.402800576649048</v>
      </c>
      <c r="L11" s="162">
        <f t="shared" si="3"/>
        <v>0.5949901794054414</v>
      </c>
      <c r="M11" s="19"/>
      <c r="O11" s="21"/>
    </row>
    <row r="12" spans="1:15" ht="12.75">
      <c r="A12" s="138" t="s">
        <v>2</v>
      </c>
      <c r="B12" s="164">
        <f t="shared" si="1"/>
        <v>776442331.99</v>
      </c>
      <c r="C12" s="246">
        <f>'table 2a'!C12</f>
        <v>488254350</v>
      </c>
      <c r="D12" s="246">
        <v>6707718.069999999</v>
      </c>
      <c r="E12" s="161">
        <f>state1!C13-state1!H13</f>
        <v>235896057.89999998</v>
      </c>
      <c r="F12" s="247">
        <f>fed1!B13</f>
        <v>45141908.019999996</v>
      </c>
      <c r="G12" s="246">
        <f>'table 2a'!G12</f>
        <v>442298</v>
      </c>
      <c r="H12" s="163"/>
      <c r="I12" s="162">
        <f t="shared" si="2"/>
        <v>63.74743463579916</v>
      </c>
      <c r="J12" s="162">
        <f>IF($B12&lt;&gt;0,(E12/$B12*100),(IF(E12&lt;&gt;0,1,0)))</f>
        <v>30.381658518721533</v>
      </c>
      <c r="K12" s="162">
        <f t="shared" si="3"/>
        <v>5.813942151286696</v>
      </c>
      <c r="L12" s="162">
        <f t="shared" si="3"/>
        <v>0.05696469419260058</v>
      </c>
      <c r="O12" s="21"/>
    </row>
    <row r="13" spans="1:15" ht="12.75">
      <c r="A13" s="138" t="s">
        <v>3</v>
      </c>
      <c r="B13" s="164">
        <f t="shared" si="1"/>
        <v>1089196670.81</v>
      </c>
      <c r="C13" s="246">
        <f>'table 2a'!C13</f>
        <v>200176918.64</v>
      </c>
      <c r="D13" s="246">
        <v>14567923.659999998</v>
      </c>
      <c r="E13" s="161">
        <f>state1!C14-state1!H14</f>
        <v>730116104.09</v>
      </c>
      <c r="F13" s="247">
        <f>fed1!B14</f>
        <v>135244788.42</v>
      </c>
      <c r="G13" s="246">
        <f>'table 2a'!G13</f>
        <v>9090936</v>
      </c>
      <c r="H13" s="163"/>
      <c r="I13" s="162">
        <f>IF(B13&lt;&gt;0,((+C13+D13)/B13*100),(IF(C13&lt;&gt;0,1,0)))</f>
        <v>19.715892276855865</v>
      </c>
      <c r="J13" s="162">
        <f>IF($B13&lt;&gt;0,(E13/$B13*100),(IF(E13&lt;&gt;0,1,0)))</f>
        <v>67.03253174167678</v>
      </c>
      <c r="K13" s="162">
        <f t="shared" si="3"/>
        <v>12.416930022327636</v>
      </c>
      <c r="L13" s="162">
        <f t="shared" si="3"/>
        <v>0.834645959139718</v>
      </c>
      <c r="O13" s="21"/>
    </row>
    <row r="14" spans="1:15" ht="12.75">
      <c r="A14" s="138" t="s">
        <v>4</v>
      </c>
      <c r="B14" s="164">
        <f t="shared" si="1"/>
        <v>1161445600.56</v>
      </c>
      <c r="C14" s="246">
        <f>'table 2a'!C14</f>
        <v>607173546.17</v>
      </c>
      <c r="D14" s="246">
        <v>5187083.13</v>
      </c>
      <c r="E14" s="161">
        <f>state1!C15-state1!H15</f>
        <v>443870450.66</v>
      </c>
      <c r="F14" s="247">
        <f>fed1!B15</f>
        <v>92720972.6</v>
      </c>
      <c r="G14" s="246">
        <f>'table 2a'!G14</f>
        <v>12493548</v>
      </c>
      <c r="H14" s="163"/>
      <c r="I14" s="162">
        <f t="shared" si="2"/>
        <v>52.724004379089784</v>
      </c>
      <c r="J14" s="162">
        <f>IF($B14&lt;&gt;0,(E14/$B14*100),(IF(E14&lt;&gt;0,1,0)))</f>
        <v>38.2170676307168</v>
      </c>
      <c r="K14" s="162">
        <f t="shared" si="3"/>
        <v>7.983238522346106</v>
      </c>
      <c r="L14" s="162">
        <f t="shared" si="3"/>
        <v>1.0756894678473223</v>
      </c>
      <c r="O14" s="21"/>
    </row>
    <row r="15" spans="1:15" ht="12.75">
      <c r="A15" s="138" t="s">
        <v>5</v>
      </c>
      <c r="B15" s="164">
        <f t="shared" si="1"/>
        <v>173819533.34</v>
      </c>
      <c r="C15" s="246">
        <f>'table 2a'!C15</f>
        <v>90378744</v>
      </c>
      <c r="D15" s="246">
        <v>2819241.3</v>
      </c>
      <c r="E15" s="161">
        <f>state1!C16-state1!H16</f>
        <v>73041373.88000001</v>
      </c>
      <c r="F15" s="247">
        <f>fed1!B16</f>
        <v>7580174.159999999</v>
      </c>
      <c r="G15" s="246">
        <f>'table 2a'!G15</f>
        <v>0</v>
      </c>
      <c r="H15" s="163"/>
      <c r="I15" s="162">
        <f t="shared" si="2"/>
        <v>53.617670873445455</v>
      </c>
      <c r="J15" s="162">
        <f>IF($B15&lt;&gt;0,(E15/$B15*100),(IF(E15&lt;&gt;0,1,0)))</f>
        <v>42.021384177304924</v>
      </c>
      <c r="K15" s="162">
        <f t="shared" si="3"/>
        <v>4.3609449492496255</v>
      </c>
      <c r="L15" s="162">
        <f t="shared" si="3"/>
        <v>0</v>
      </c>
      <c r="O15" s="21"/>
    </row>
    <row r="16" spans="2:15" ht="12.75">
      <c r="B16" s="164"/>
      <c r="C16" s="246"/>
      <c r="D16" s="161"/>
      <c r="E16" s="161"/>
      <c r="F16" s="247"/>
      <c r="G16" s="161"/>
      <c r="H16" s="163"/>
      <c r="I16" s="162"/>
      <c r="J16" s="162"/>
      <c r="K16" s="162"/>
      <c r="L16" s="162"/>
      <c r="O16" s="3"/>
    </row>
    <row r="17" spans="1:15" ht="12.75">
      <c r="A17" s="138" t="s">
        <v>6</v>
      </c>
      <c r="B17" s="164">
        <f t="shared" si="1"/>
        <v>54450909.8</v>
      </c>
      <c r="C17" s="246">
        <f>'table 2a'!C17</f>
        <v>11850000</v>
      </c>
      <c r="D17" s="246">
        <v>686553.16</v>
      </c>
      <c r="E17" s="161">
        <f>state1!C18-state1!H18</f>
        <v>36935402.2</v>
      </c>
      <c r="F17" s="247">
        <f>fed1!B18</f>
        <v>4978954.44</v>
      </c>
      <c r="G17" s="246">
        <f>'table 2a'!G17</f>
        <v>0</v>
      </c>
      <c r="H17" s="163"/>
      <c r="I17" s="162">
        <f t="shared" si="2"/>
        <v>23.023588046640867</v>
      </c>
      <c r="J17" s="162">
        <f>IF($B17&lt;&gt;0,(E17/$B17*100),(IF(E17&lt;&gt;0,1,0)))</f>
        <v>67.83247944922309</v>
      </c>
      <c r="K17" s="162">
        <f aca="true" t="shared" si="4" ref="K17:L21">IF($B17&lt;&gt;0,(F17/$B17*100),(IF(F17&lt;&gt;0,1,0)))</f>
        <v>9.143932504136048</v>
      </c>
      <c r="L17" s="162">
        <f t="shared" si="4"/>
        <v>0</v>
      </c>
      <c r="O17" s="21"/>
    </row>
    <row r="18" spans="1:15" ht="12.75">
      <c r="A18" s="138" t="s">
        <v>7</v>
      </c>
      <c r="B18" s="164">
        <f t="shared" si="1"/>
        <v>285311203.37</v>
      </c>
      <c r="C18" s="246">
        <f>'table 2a'!C18</f>
        <v>144998072</v>
      </c>
      <c r="D18" s="246">
        <v>2155102.91</v>
      </c>
      <c r="E18" s="161">
        <f>state1!C19-state1!H19</f>
        <v>125180435.63</v>
      </c>
      <c r="F18" s="247">
        <f>fed1!B19</f>
        <v>11879920.61</v>
      </c>
      <c r="G18" s="246">
        <f>'table 2a'!G18</f>
        <v>1097672.22</v>
      </c>
      <c r="H18" s="163"/>
      <c r="I18" s="162">
        <f t="shared" si="2"/>
        <v>51.576374559385044</v>
      </c>
      <c r="J18" s="162">
        <f>IF($B18&lt;&gt;0,(E18/$B18*100),(IF(E18&lt;&gt;0,1,0)))</f>
        <v>43.875050874767894</v>
      </c>
      <c r="K18" s="162">
        <f t="shared" si="4"/>
        <v>4.163846519056515</v>
      </c>
      <c r="L18" s="162">
        <f t="shared" si="4"/>
        <v>0.3847280467905448</v>
      </c>
      <c r="O18" s="21"/>
    </row>
    <row r="19" spans="1:15" ht="12.75">
      <c r="A19" s="138" t="s">
        <v>8</v>
      </c>
      <c r="B19" s="164">
        <f t="shared" si="1"/>
        <v>163724429.23</v>
      </c>
      <c r="C19" s="246">
        <f>'table 2a'!C19</f>
        <v>65715090</v>
      </c>
      <c r="D19" s="246">
        <v>1975200.16</v>
      </c>
      <c r="E19" s="161">
        <f>state1!C20-state1!H20</f>
        <v>85952178.90999998</v>
      </c>
      <c r="F19" s="247">
        <f>fed1!B20</f>
        <v>10081960.16</v>
      </c>
      <c r="G19" s="246">
        <f>'table 2a'!G19</f>
        <v>0</v>
      </c>
      <c r="H19" s="163"/>
      <c r="I19" s="162">
        <f>IF(B19&lt;&gt;0,((+C19+D19)/B19*100),(IF(C19&lt;&gt;0,1,0)))</f>
        <v>41.34403795349851</v>
      </c>
      <c r="J19" s="162">
        <f>IF($B19&lt;&gt;0,(E19/$B19*100),(IF(E19&lt;&gt;0,1,0)))</f>
        <v>52.498078212417774</v>
      </c>
      <c r="K19" s="162">
        <f t="shared" si="4"/>
        <v>6.157883834083714</v>
      </c>
      <c r="L19" s="162">
        <f t="shared" si="4"/>
        <v>0</v>
      </c>
      <c r="O19" s="21"/>
    </row>
    <row r="20" spans="1:15" ht="12.75">
      <c r="A20" s="138" t="s">
        <v>9</v>
      </c>
      <c r="B20" s="164">
        <f t="shared" si="1"/>
        <v>270003684.89</v>
      </c>
      <c r="C20" s="246">
        <f>'table 2a'!C20</f>
        <v>124006000</v>
      </c>
      <c r="D20" s="246">
        <v>3692641.81</v>
      </c>
      <c r="E20" s="161">
        <f>state1!C21-state1!H21</f>
        <v>128945057.11000001</v>
      </c>
      <c r="F20" s="247">
        <f>fed1!B21</f>
        <v>13359985.969999999</v>
      </c>
      <c r="G20" s="246">
        <f>'table 2a'!G20</f>
        <v>0</v>
      </c>
      <c r="H20" s="163"/>
      <c r="I20" s="162">
        <f t="shared" si="2"/>
        <v>47.29514779104762</v>
      </c>
      <c r="J20" s="162">
        <f>IF($B20&lt;&gt;0,(E20/$B20*100),(IF(E20&lt;&gt;0,1,0)))</f>
        <v>47.75677678715106</v>
      </c>
      <c r="K20" s="162">
        <f t="shared" si="4"/>
        <v>4.948075421801329</v>
      </c>
      <c r="L20" s="162">
        <f t="shared" si="4"/>
        <v>0</v>
      </c>
      <c r="O20" s="21"/>
    </row>
    <row r="21" spans="1:15" ht="12.75">
      <c r="A21" s="138" t="s">
        <v>10</v>
      </c>
      <c r="B21" s="164">
        <f t="shared" si="1"/>
        <v>49573410.97</v>
      </c>
      <c r="C21" s="246">
        <f>'table 2a'!C21</f>
        <v>16344830</v>
      </c>
      <c r="D21" s="246">
        <v>1227247.04</v>
      </c>
      <c r="E21" s="161">
        <f>state1!C22-state1!H22</f>
        <v>25898812.04</v>
      </c>
      <c r="F21" s="247">
        <f>fed1!B22</f>
        <v>6102521.89</v>
      </c>
      <c r="G21" s="246">
        <f>'table 2a'!G21</f>
        <v>0</v>
      </c>
      <c r="H21" s="163"/>
      <c r="I21" s="162">
        <f t="shared" si="2"/>
        <v>35.44657649366506</v>
      </c>
      <c r="J21" s="162">
        <f>IF($B21&lt;&gt;0,(E21/$B21*100),(IF(E21&lt;&gt;0,1,0)))</f>
        <v>52.24335290479206</v>
      </c>
      <c r="K21" s="162">
        <f t="shared" si="4"/>
        <v>12.310070601542874</v>
      </c>
      <c r="L21" s="162">
        <f t="shared" si="4"/>
        <v>0</v>
      </c>
      <c r="O21" s="21"/>
    </row>
    <row r="22" spans="2:15" ht="12.75">
      <c r="B22" s="164"/>
      <c r="C22" s="246"/>
      <c r="D22" s="161"/>
      <c r="E22" s="161"/>
      <c r="F22" s="247"/>
      <c r="G22" s="161"/>
      <c r="H22" s="163"/>
      <c r="I22" s="162"/>
      <c r="J22" s="162"/>
      <c r="K22" s="162"/>
      <c r="L22" s="162"/>
      <c r="O22" s="3"/>
    </row>
    <row r="23" spans="1:15" ht="12.75">
      <c r="A23" s="138" t="s">
        <v>11</v>
      </c>
      <c r="B23" s="164">
        <f t="shared" si="1"/>
        <v>394981384.92</v>
      </c>
      <c r="C23" s="246">
        <f>'table 2a'!C23</f>
        <v>205597129.06</v>
      </c>
      <c r="D23" s="246">
        <v>3981611.79</v>
      </c>
      <c r="E23" s="161">
        <f>state1!C24-state1!H24</f>
        <v>168221245.88000003</v>
      </c>
      <c r="F23" s="247">
        <f>fed1!B24</f>
        <v>17181398.189999998</v>
      </c>
      <c r="G23" s="246">
        <f>'table 2a'!G23</f>
        <v>0</v>
      </c>
      <c r="H23" s="163"/>
      <c r="I23" s="162">
        <f t="shared" si="2"/>
        <v>53.06040964245652</v>
      </c>
      <c r="J23" s="162">
        <f>IF($B23&lt;&gt;0,(E23/$B23*100),(IF(E23&lt;&gt;0,1,0)))</f>
        <v>42.58966429875468</v>
      </c>
      <c r="K23" s="162">
        <f aca="true" t="shared" si="5" ref="K23:L27">IF($B23&lt;&gt;0,(F23/$B23*100),(IF(F23&lt;&gt;0,1,0)))</f>
        <v>4.349926058788806</v>
      </c>
      <c r="L23" s="162">
        <f t="shared" si="5"/>
        <v>0</v>
      </c>
      <c r="O23" s="21"/>
    </row>
    <row r="24" spans="1:15" ht="12.75">
      <c r="A24" s="138" t="s">
        <v>12</v>
      </c>
      <c r="B24" s="164">
        <f t="shared" si="1"/>
        <v>48344203.7</v>
      </c>
      <c r="C24" s="246">
        <f>'table 2a'!C24</f>
        <v>19161102.38</v>
      </c>
      <c r="D24" s="246">
        <v>588666.84</v>
      </c>
      <c r="E24" s="161">
        <f>state1!C25-state1!H25</f>
        <v>23344252.290000003</v>
      </c>
      <c r="F24" s="247">
        <f>fed1!B25</f>
        <v>5240428.16</v>
      </c>
      <c r="G24" s="246">
        <f>'table 2a'!G24</f>
        <v>9754.03</v>
      </c>
      <c r="H24" s="163"/>
      <c r="I24" s="162">
        <f t="shared" si="2"/>
        <v>40.852403615037716</v>
      </c>
      <c r="J24" s="162">
        <f>IF($B24&lt;&gt;0,(E24/$B24*100),(IF(E24&lt;&gt;0,1,0)))</f>
        <v>48.28759293433145</v>
      </c>
      <c r="K24" s="162">
        <f t="shared" si="5"/>
        <v>10.839827236620716</v>
      </c>
      <c r="L24" s="162">
        <f t="shared" si="5"/>
        <v>0.020176214010119275</v>
      </c>
      <c r="O24" s="21"/>
    </row>
    <row r="25" spans="1:15" ht="12.75">
      <c r="A25" s="138" t="s">
        <v>13</v>
      </c>
      <c r="B25" s="164">
        <f t="shared" si="1"/>
        <v>405077941.94000006</v>
      </c>
      <c r="C25" s="246">
        <f>'table 2a'!C25</f>
        <v>189414800</v>
      </c>
      <c r="D25" s="246">
        <v>3302063.46</v>
      </c>
      <c r="E25" s="161">
        <f>state1!C26-state1!H26</f>
        <v>187107169.91000003</v>
      </c>
      <c r="F25" s="247">
        <f>fed1!B26</f>
        <v>22825488.22</v>
      </c>
      <c r="G25" s="246">
        <f>'table 2a'!G25</f>
        <v>2428420.35</v>
      </c>
      <c r="H25" s="163"/>
      <c r="I25" s="162">
        <f>IF(B25&lt;&gt;0,((+C25+D25)/B25*100),(IF(C25&lt;&gt;0,1,0)))</f>
        <v>47.57525490947249</v>
      </c>
      <c r="J25" s="162">
        <f>IF($B25&lt;&gt;0,(E25/$B25*100),(IF(E25&lt;&gt;0,1,0)))</f>
        <v>46.190411902930585</v>
      </c>
      <c r="K25" s="162">
        <f t="shared" si="5"/>
        <v>5.634838596909061</v>
      </c>
      <c r="L25" s="162">
        <f t="shared" si="5"/>
        <v>0.5994945906878575</v>
      </c>
      <c r="O25" s="21"/>
    </row>
    <row r="26" spans="1:15" ht="12.75">
      <c r="A26" s="138" t="s">
        <v>14</v>
      </c>
      <c r="B26" s="164">
        <f t="shared" si="1"/>
        <v>577178192.58</v>
      </c>
      <c r="C26" s="246">
        <f>'table 2a'!C26</f>
        <v>393710890</v>
      </c>
      <c r="D26" s="246">
        <v>8072227</v>
      </c>
      <c r="E26" s="161">
        <f>state1!C27-state1!H27</f>
        <v>156866038.76000002</v>
      </c>
      <c r="F26" s="247">
        <f>fed1!B27</f>
        <v>18529036.82</v>
      </c>
      <c r="G26" s="246">
        <f>'table 2a'!G26</f>
        <v>0</v>
      </c>
      <c r="H26" s="163"/>
      <c r="I26" s="162">
        <f t="shared" si="2"/>
        <v>69.61162465338825</v>
      </c>
      <c r="J26" s="162">
        <f>IF($B26&lt;&gt;0,(E26/$B26*100),(IF(E26&lt;&gt;0,1,0)))</f>
        <v>27.17809521853297</v>
      </c>
      <c r="K26" s="162">
        <f t="shared" si="5"/>
        <v>3.2102801280787774</v>
      </c>
      <c r="L26" s="162">
        <f t="shared" si="5"/>
        <v>0</v>
      </c>
      <c r="O26" s="21"/>
    </row>
    <row r="27" spans="1:15" ht="12.75">
      <c r="A27" s="138" t="s">
        <v>15</v>
      </c>
      <c r="B27" s="164">
        <f t="shared" si="1"/>
        <v>28137625.63</v>
      </c>
      <c r="C27" s="246">
        <f>'table 2a'!C27</f>
        <v>15174800</v>
      </c>
      <c r="D27" s="246">
        <f>'table 2a'!D27</f>
        <v>308656</v>
      </c>
      <c r="E27" s="161">
        <f>state1!C28-state1!H28</f>
        <v>9458786.09</v>
      </c>
      <c r="F27" s="247">
        <f>fed1!B28</f>
        <v>3195383.54</v>
      </c>
      <c r="G27" s="246">
        <f>'table 2a'!G27</f>
        <v>0</v>
      </c>
      <c r="H27" s="163"/>
      <c r="I27" s="162">
        <f t="shared" si="2"/>
        <v>55.02758549567069</v>
      </c>
      <c r="J27" s="162">
        <f>IF($B27&lt;&gt;0,(E27/$B27*100),(IF(E27&lt;&gt;0,1,0)))</f>
        <v>33.616148762442684</v>
      </c>
      <c r="K27" s="162">
        <f t="shared" si="5"/>
        <v>11.356265741886624</v>
      </c>
      <c r="L27" s="162">
        <f t="shared" si="5"/>
        <v>0</v>
      </c>
      <c r="O27" s="21"/>
    </row>
    <row r="28" spans="2:15" ht="12.75">
      <c r="B28" s="164"/>
      <c r="C28" s="161"/>
      <c r="D28" s="161"/>
      <c r="E28" s="161"/>
      <c r="F28" s="247"/>
      <c r="G28" s="161"/>
      <c r="H28" s="163"/>
      <c r="I28" s="162"/>
      <c r="J28" s="162"/>
      <c r="K28" s="162"/>
      <c r="L28" s="162"/>
      <c r="O28" s="3"/>
    </row>
    <row r="29" spans="1:15" ht="12.75">
      <c r="A29" s="138" t="s">
        <v>16</v>
      </c>
      <c r="B29" s="164">
        <f t="shared" si="1"/>
        <v>1830445486.8800004</v>
      </c>
      <c r="C29" s="246">
        <f>'table 2a'!C29</f>
        <v>1381701414.89</v>
      </c>
      <c r="D29" s="246">
        <v>14017603.66</v>
      </c>
      <c r="E29" s="161">
        <f>state1!C30-state1!H30</f>
        <v>340719590.36</v>
      </c>
      <c r="F29" s="247">
        <f>fed1!B30</f>
        <v>92958904.97</v>
      </c>
      <c r="G29" s="246">
        <f>'table 2a'!G29</f>
        <v>1047973</v>
      </c>
      <c r="H29" s="163"/>
      <c r="I29" s="162">
        <f t="shared" si="2"/>
        <v>76.25023681688589</v>
      </c>
      <c r="J29" s="162">
        <f>IF($B29&lt;&gt;0,(E29/$B29*100),(IF(E29&lt;&gt;0,1,0)))</f>
        <v>18.614025536524313</v>
      </c>
      <c r="K29" s="162">
        <f aca="true" t="shared" si="6" ref="K29:L33">IF($B29&lt;&gt;0,(F29/$B29*100),(IF(F29&lt;&gt;0,1,0)))</f>
        <v>5.078485299687822</v>
      </c>
      <c r="L29" s="162">
        <f t="shared" si="6"/>
        <v>0.05725234690197046</v>
      </c>
      <c r="O29" s="21"/>
    </row>
    <row r="30" spans="1:15" ht="12.75">
      <c r="A30" s="138" t="s">
        <v>17</v>
      </c>
      <c r="B30" s="164">
        <f t="shared" si="1"/>
        <v>1510966286.6299999</v>
      </c>
      <c r="C30" s="246">
        <f>'table 2a'!C30</f>
        <v>591196334.4</v>
      </c>
      <c r="D30" s="246">
        <v>31037908.619999986</v>
      </c>
      <c r="E30" s="161">
        <f>state1!C31-state1!H31</f>
        <v>777107611.4099998</v>
      </c>
      <c r="F30" s="247">
        <f>fed1!B31</f>
        <v>111624432.20000002</v>
      </c>
      <c r="G30" s="246">
        <f>'table 2a'!G30</f>
        <v>0</v>
      </c>
      <c r="H30" s="163"/>
      <c r="I30" s="162">
        <f t="shared" si="2"/>
        <v>41.18121287853529</v>
      </c>
      <c r="J30" s="162">
        <f>IF($B30&lt;&gt;0,(E30/$B30*100),(IF(E30&lt;&gt;0,1,0)))</f>
        <v>51.43116813964329</v>
      </c>
      <c r="K30" s="162">
        <f t="shared" si="6"/>
        <v>7.387618981821413</v>
      </c>
      <c r="L30" s="162">
        <f t="shared" si="6"/>
        <v>0</v>
      </c>
      <c r="O30" s="21"/>
    </row>
    <row r="31" spans="1:15" ht="12.75">
      <c r="A31" s="138" t="s">
        <v>18</v>
      </c>
      <c r="B31" s="164">
        <f t="shared" si="1"/>
        <v>72154783.95</v>
      </c>
      <c r="C31" s="246">
        <f>'table 2a'!C31</f>
        <v>39940413</v>
      </c>
      <c r="D31" s="246">
        <v>573892.62</v>
      </c>
      <c r="E31" s="161">
        <f>state1!C32-state1!H32</f>
        <v>26626771.66</v>
      </c>
      <c r="F31" s="247">
        <f>fed1!B32</f>
        <v>5013706.670000001</v>
      </c>
      <c r="G31" s="246">
        <f>'table 2a'!G31</f>
        <v>0</v>
      </c>
      <c r="H31" s="163"/>
      <c r="I31" s="162">
        <f>IF(B31&lt;&gt;0,((+C31+D31)/B31*100),(IF(C31&lt;&gt;0,1,0)))</f>
        <v>56.14916073766443</v>
      </c>
      <c r="J31" s="162">
        <f>IF($B31&lt;&gt;0,(E31/$B31*100),(IF(E31&lt;&gt;0,1,0)))</f>
        <v>36.902295596160535</v>
      </c>
      <c r="K31" s="162">
        <f t="shared" si="6"/>
        <v>6.948543666175028</v>
      </c>
      <c r="L31" s="162">
        <f t="shared" si="6"/>
        <v>0</v>
      </c>
      <c r="O31" s="21"/>
    </row>
    <row r="32" spans="1:15" ht="12.75">
      <c r="A32" s="138" t="s">
        <v>19</v>
      </c>
      <c r="B32" s="164">
        <f t="shared" si="1"/>
        <v>163051049.33</v>
      </c>
      <c r="C32" s="246">
        <f>'table 2a'!C32</f>
        <v>67811488</v>
      </c>
      <c r="D32" s="246">
        <v>1874641.34</v>
      </c>
      <c r="E32" s="161">
        <f>state1!C33-state1!H33</f>
        <v>78829183.32000001</v>
      </c>
      <c r="F32" s="247">
        <f>fed1!B33</f>
        <v>12322519.44</v>
      </c>
      <c r="G32" s="246">
        <f>'table 2a'!G32</f>
        <v>2213217.23</v>
      </c>
      <c r="H32" s="163"/>
      <c r="I32" s="162">
        <f t="shared" si="2"/>
        <v>42.738841379034504</v>
      </c>
      <c r="J32" s="162">
        <f>IF($B32&lt;&gt;0,(E32/$B32*100),(IF(E32&lt;&gt;0,1,0)))</f>
        <v>48.34632076513481</v>
      </c>
      <c r="K32" s="162">
        <f t="shared" si="6"/>
        <v>7.557460985767947</v>
      </c>
      <c r="L32" s="162">
        <f t="shared" si="6"/>
        <v>1.3573768700627347</v>
      </c>
      <c r="O32" s="21"/>
    </row>
    <row r="33" spans="1:15" ht="12.75">
      <c r="A33" s="138" t="s">
        <v>20</v>
      </c>
      <c r="B33" s="164">
        <f t="shared" si="1"/>
        <v>36509711.64</v>
      </c>
      <c r="C33" s="246">
        <f>'table 2a'!C33</f>
        <v>8925712</v>
      </c>
      <c r="D33" s="246">
        <v>564885.09</v>
      </c>
      <c r="E33" s="161">
        <f>state1!C34-state1!H34</f>
        <v>21357061.81</v>
      </c>
      <c r="F33" s="247">
        <f>fed1!B34</f>
        <v>5662052.74</v>
      </c>
      <c r="G33" s="246">
        <f>'table 2a'!G33</f>
        <v>0</v>
      </c>
      <c r="H33" s="163"/>
      <c r="I33" s="162">
        <f t="shared" si="2"/>
        <v>25.994719387490623</v>
      </c>
      <c r="J33" s="162">
        <f>IF($B33&lt;&gt;0,(E33/$B33*100),(IF(E33&lt;&gt;0,1,0)))</f>
        <v>58.49693369421528</v>
      </c>
      <c r="K33" s="162">
        <f t="shared" si="6"/>
        <v>15.508346918294095</v>
      </c>
      <c r="L33" s="162">
        <f t="shared" si="6"/>
        <v>0</v>
      </c>
      <c r="O33" s="21"/>
    </row>
    <row r="34" spans="2:15" ht="12.75">
      <c r="B34" s="164"/>
      <c r="C34" s="83"/>
      <c r="D34" s="161"/>
      <c r="E34" s="247"/>
      <c r="F34" s="247"/>
      <c r="G34" s="161"/>
      <c r="H34" s="163"/>
      <c r="I34" s="162"/>
      <c r="J34" s="162"/>
      <c r="K34" s="162"/>
      <c r="L34" s="162"/>
      <c r="O34" s="3"/>
    </row>
    <row r="35" spans="1:15" ht="12.75">
      <c r="A35" s="138" t="s">
        <v>21</v>
      </c>
      <c r="B35" s="164">
        <f t="shared" si="1"/>
        <v>44523658.660000004</v>
      </c>
      <c r="C35" s="246">
        <f>'table 2a'!C35</f>
        <v>29848888</v>
      </c>
      <c r="D35" s="246">
        <v>1501814.05</v>
      </c>
      <c r="E35" s="161">
        <f>state1!C36-state1!H36</f>
        <v>10239980.33</v>
      </c>
      <c r="F35" s="247">
        <f>fed1!B36</f>
        <v>2888073.2800000003</v>
      </c>
      <c r="G35" s="246">
        <f>'table 2a'!G35</f>
        <v>44903</v>
      </c>
      <c r="H35" s="163"/>
      <c r="I35" s="162">
        <f t="shared" si="2"/>
        <v>70.41358009099426</v>
      </c>
      <c r="J35" s="162">
        <f>IF($B35&lt;&gt;0,(E35/$B35*100),(IF(E35&lt;&gt;0,1,0)))</f>
        <v>22.998964232019826</v>
      </c>
      <c r="K35" s="162">
        <f aca="true" t="shared" si="7" ref="K35:L38">IF($B35&lt;&gt;0,(F35/$B35*100),(IF(F35&lt;&gt;0,1,0)))</f>
        <v>6.486603677506498</v>
      </c>
      <c r="L35" s="162">
        <f t="shared" si="7"/>
        <v>0.10085199947941564</v>
      </c>
      <c r="O35" s="21"/>
    </row>
    <row r="36" spans="1:15" ht="12.75">
      <c r="A36" s="138" t="s">
        <v>22</v>
      </c>
      <c r="B36" s="164">
        <f t="shared" si="1"/>
        <v>211814012.16</v>
      </c>
      <c r="C36" s="246">
        <f>'table 2a'!C36</f>
        <v>83232402.25</v>
      </c>
      <c r="D36" s="246">
        <v>1196109.14</v>
      </c>
      <c r="E36" s="161">
        <f>state1!C37-state1!H37</f>
        <v>111219188.67</v>
      </c>
      <c r="F36" s="247">
        <f>fed1!B37</f>
        <v>15860347.100000001</v>
      </c>
      <c r="G36" s="246">
        <f>'table 2a'!G36</f>
        <v>305965</v>
      </c>
      <c r="H36" s="163"/>
      <c r="I36" s="162">
        <f t="shared" si="2"/>
        <v>39.859738517310376</v>
      </c>
      <c r="J36" s="162">
        <f>IF($B36&lt;&gt;0,(E36/$B36*100),(IF(E36&lt;&gt;0,1,0)))</f>
        <v>52.50794672922171</v>
      </c>
      <c r="K36" s="162">
        <f t="shared" si="7"/>
        <v>7.487864914252896</v>
      </c>
      <c r="L36" s="162">
        <f t="shared" si="7"/>
        <v>0.14444983921501864</v>
      </c>
      <c r="O36" s="21"/>
    </row>
    <row r="37" spans="1:15" ht="12.75">
      <c r="A37" s="138" t="s">
        <v>23</v>
      </c>
      <c r="B37" s="164">
        <f t="shared" si="1"/>
        <v>156560867.34</v>
      </c>
      <c r="C37" s="246">
        <f>'table 2a'!C37</f>
        <v>48329815</v>
      </c>
      <c r="D37" s="246">
        <v>2717166.28</v>
      </c>
      <c r="E37" s="161">
        <f>state1!C38-state1!H38</f>
        <v>90336735.04</v>
      </c>
      <c r="F37" s="247">
        <f>fed1!B38</f>
        <v>14705747.83</v>
      </c>
      <c r="G37" s="246">
        <f>'table 2a'!G37</f>
        <v>471403.19</v>
      </c>
      <c r="H37" s="163"/>
      <c r="I37" s="162">
        <f t="shared" si="2"/>
        <v>32.60519831506958</v>
      </c>
      <c r="J37" s="162">
        <f>IF($B37&lt;&gt;0,(E37/$B37*100),(IF(E37&lt;&gt;0,1,0)))</f>
        <v>57.70071191788787</v>
      </c>
      <c r="K37" s="162">
        <f t="shared" si="7"/>
        <v>9.3929907772316</v>
      </c>
      <c r="L37" s="162">
        <f t="shared" si="7"/>
        <v>0.301098989810949</v>
      </c>
      <c r="O37" s="21"/>
    </row>
    <row r="38" spans="1:15" ht="12.75">
      <c r="A38" s="196" t="s">
        <v>24</v>
      </c>
      <c r="B38" s="169">
        <f t="shared" si="1"/>
        <v>85970675.03</v>
      </c>
      <c r="C38" s="249">
        <f>'table 2a'!C38</f>
        <v>61150026</v>
      </c>
      <c r="D38" s="249">
        <v>950034.39</v>
      </c>
      <c r="E38" s="168">
        <f>state1!C39-state1!H39</f>
        <v>16099060.61</v>
      </c>
      <c r="F38" s="168">
        <f>fed1!B39</f>
        <v>7771554.030000001</v>
      </c>
      <c r="G38" s="249">
        <f>'table 2a'!G38</f>
        <v>0</v>
      </c>
      <c r="H38" s="167"/>
      <c r="I38" s="170">
        <f t="shared" si="2"/>
        <v>72.23400347656896</v>
      </c>
      <c r="J38" s="170">
        <f>IF($B38&lt;&gt;0,(E38/$B38*100),(IF(E38&lt;&gt;0,1,0)))</f>
        <v>18.726223336483205</v>
      </c>
      <c r="K38" s="170">
        <f t="shared" si="7"/>
        <v>9.039773186947839</v>
      </c>
      <c r="L38" s="170">
        <f t="shared" si="7"/>
        <v>0</v>
      </c>
      <c r="O38" s="21"/>
    </row>
    <row r="39" spans="1:15" ht="12.75">
      <c r="A39" s="142"/>
      <c r="B39" s="164"/>
      <c r="C39" s="161"/>
      <c r="D39" s="161"/>
      <c r="E39" s="161"/>
      <c r="F39" s="161"/>
      <c r="G39" s="161"/>
      <c r="H39" s="160"/>
      <c r="I39" s="162"/>
      <c r="J39" s="162"/>
      <c r="K39" s="162"/>
      <c r="L39" s="162"/>
      <c r="O39" s="21"/>
    </row>
    <row r="40" spans="1:12" ht="12.75">
      <c r="A40" s="241" t="s">
        <v>274</v>
      </c>
      <c r="C40" s="159"/>
      <c r="D40" s="163"/>
      <c r="E40" s="159"/>
      <c r="F40" s="159"/>
      <c r="G40" s="159"/>
      <c r="H40" s="159"/>
      <c r="I40" s="250"/>
      <c r="J40" s="250"/>
      <c r="K40" s="250"/>
      <c r="L40" s="159"/>
    </row>
    <row r="41" spans="1:12" ht="12.75">
      <c r="A41" s="138" t="s">
        <v>267</v>
      </c>
      <c r="C41" s="159"/>
      <c r="D41" s="163"/>
      <c r="E41" s="159"/>
      <c r="F41" s="159"/>
      <c r="G41" s="159"/>
      <c r="H41" s="159"/>
      <c r="I41" s="159"/>
      <c r="J41" s="159"/>
      <c r="K41" s="159"/>
      <c r="L41" s="159"/>
    </row>
    <row r="42" spans="1:12" ht="12.75">
      <c r="A42" s="60" t="s">
        <v>275</v>
      </c>
      <c r="C42" s="159"/>
      <c r="D42" s="163"/>
      <c r="E42" s="159"/>
      <c r="F42" s="159"/>
      <c r="G42" s="159"/>
      <c r="H42" s="159"/>
      <c r="I42" s="159"/>
      <c r="J42" s="159"/>
      <c r="K42" s="159"/>
      <c r="L42" s="159"/>
    </row>
    <row r="43" spans="1:12" ht="12.75">
      <c r="A43" s="172"/>
      <c r="C43" s="159"/>
      <c r="D43" s="163"/>
      <c r="E43" s="159"/>
      <c r="F43" s="159"/>
      <c r="G43" s="159"/>
      <c r="H43" s="159"/>
      <c r="I43" s="159"/>
      <c r="J43" s="159"/>
      <c r="K43" s="159"/>
      <c r="L43" s="159"/>
    </row>
    <row r="44" spans="3:12" ht="12.75">
      <c r="C44" s="159"/>
      <c r="D44" s="163"/>
      <c r="E44" s="159"/>
      <c r="F44" s="159"/>
      <c r="G44" s="159"/>
      <c r="H44" s="159"/>
      <c r="I44" s="159"/>
      <c r="J44" s="159"/>
      <c r="K44" s="159"/>
      <c r="L44" s="159"/>
    </row>
    <row r="45" ht="12.75">
      <c r="D45" s="171"/>
    </row>
    <row r="46" ht="12.75">
      <c r="D46" s="171"/>
    </row>
  </sheetData>
  <sheetProtection password="CAF5" sheet="1" objects="1" scenarios="1"/>
  <mergeCells count="6">
    <mergeCell ref="A1:L1"/>
    <mergeCell ref="C7:D7"/>
    <mergeCell ref="C6:F6"/>
    <mergeCell ref="I6:L6"/>
    <mergeCell ref="A3:L3"/>
    <mergeCell ref="A4:L4"/>
  </mergeCells>
  <printOptions horizontalCentered="1"/>
  <pageMargins left="0.7" right="0.72" top="0.83" bottom="1" header="0.67" footer="0.5"/>
  <pageSetup fitToHeight="1" fitToWidth="1" horizontalDpi="600" verticalDpi="600" orientation="landscape" scale="79" r:id="rId1"/>
  <headerFooter alignWithMargins="0">
    <oddFooter>&amp;L&amp;"Arial,Italic"&amp;9MSDE-DBS  10 / 2008&amp;C- 3 -&amp;R&amp;"Arial,Italic"&amp;9Selected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5"/>
  <sheetViews>
    <sheetView zoomScalePageLayoutView="0" workbookViewId="0" topLeftCell="A10">
      <selection activeCell="A3" sqref="A3:K3"/>
    </sheetView>
  </sheetViews>
  <sheetFormatPr defaultColWidth="9.140625" defaultRowHeight="12.75"/>
  <cols>
    <col min="1" max="1" width="14.140625" style="0" customWidth="1"/>
    <col min="2" max="2" width="14.8515625" style="0" customWidth="1"/>
    <col min="3" max="3" width="14.8515625" style="62" customWidth="1"/>
    <col min="4" max="4" width="13.28125" style="62" customWidth="1"/>
    <col min="5" max="5" width="18.140625" style="62" customWidth="1"/>
    <col min="6" max="7" width="13.28125" style="62" customWidth="1"/>
    <col min="8" max="11" width="9.140625" style="62" customWidth="1"/>
  </cols>
  <sheetData>
    <row r="1" spans="1:11" ht="12.75">
      <c r="A1" s="411" t="s">
        <v>95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3" spans="1:11" ht="12.75">
      <c r="A3" s="411" t="s">
        <v>220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4" spans="1:10" ht="12.75">
      <c r="A4" s="411"/>
      <c r="B4" s="411"/>
      <c r="C4" s="411"/>
      <c r="D4" s="411"/>
      <c r="E4" s="411"/>
      <c r="F4" s="411"/>
      <c r="G4" s="411"/>
      <c r="H4" s="411"/>
      <c r="I4" s="411"/>
      <c r="J4" s="411"/>
    </row>
    <row r="5" spans="2:11" ht="13.5" thickBot="1">
      <c r="B5" s="12"/>
      <c r="C5" s="374"/>
      <c r="D5" s="374"/>
      <c r="E5" s="374"/>
      <c r="F5" s="374"/>
      <c r="G5" s="374"/>
      <c r="H5" s="374"/>
      <c r="I5" s="374"/>
      <c r="J5" s="374"/>
      <c r="K5" s="374"/>
    </row>
    <row r="6" spans="1:58" ht="15" customHeight="1" thickTop="1">
      <c r="A6" s="6" t="s">
        <v>85</v>
      </c>
      <c r="B6" s="18" t="s">
        <v>47</v>
      </c>
      <c r="C6" s="413" t="s">
        <v>88</v>
      </c>
      <c r="D6" s="413"/>
      <c r="E6" s="413"/>
      <c r="F6" s="413"/>
      <c r="G6" s="377"/>
      <c r="H6" s="413" t="s">
        <v>90</v>
      </c>
      <c r="I6" s="413"/>
      <c r="J6" s="413"/>
      <c r="K6" s="413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</row>
    <row r="7" spans="1:11" ht="12.75">
      <c r="A7" s="3" t="s">
        <v>35</v>
      </c>
      <c r="B7" s="9" t="s">
        <v>91</v>
      </c>
      <c r="C7" s="412" t="s">
        <v>85</v>
      </c>
      <c r="D7" s="412"/>
      <c r="E7" s="414" t="s">
        <v>48</v>
      </c>
      <c r="F7" s="414" t="s">
        <v>55</v>
      </c>
      <c r="G7" s="176" t="s">
        <v>87</v>
      </c>
      <c r="H7" s="84"/>
      <c r="I7" s="84"/>
      <c r="J7" s="84"/>
      <c r="K7" s="84" t="s">
        <v>87</v>
      </c>
    </row>
    <row r="8" spans="1:11" ht="13.5" thickBot="1">
      <c r="A8" s="7" t="s">
        <v>144</v>
      </c>
      <c r="B8" s="10" t="s">
        <v>163</v>
      </c>
      <c r="C8" s="133" t="s">
        <v>86</v>
      </c>
      <c r="D8" s="133" t="s">
        <v>122</v>
      </c>
      <c r="E8" s="415"/>
      <c r="F8" s="415"/>
      <c r="G8" s="55" t="s">
        <v>89</v>
      </c>
      <c r="H8" s="375" t="s">
        <v>85</v>
      </c>
      <c r="I8" s="375" t="s">
        <v>48</v>
      </c>
      <c r="J8" s="376" t="s">
        <v>55</v>
      </c>
      <c r="K8" s="133" t="s">
        <v>89</v>
      </c>
    </row>
    <row r="9" spans="1:11" ht="12.75">
      <c r="A9" s="3" t="s">
        <v>0</v>
      </c>
      <c r="B9" s="76">
        <f aca="true" t="shared" si="0" ref="B9:G9">SUM(B11:B38)</f>
        <v>1054371155.7400001</v>
      </c>
      <c r="C9" s="251">
        <f t="shared" si="0"/>
        <v>533266502.4200001</v>
      </c>
      <c r="D9" s="251">
        <f t="shared" si="0"/>
        <v>63400340.059999995</v>
      </c>
      <c r="E9" s="251">
        <f t="shared" si="0"/>
        <v>257516020.51</v>
      </c>
      <c r="F9" s="251">
        <f t="shared" si="0"/>
        <v>0</v>
      </c>
      <c r="G9" s="251">
        <f t="shared" si="0"/>
        <v>200188292.75</v>
      </c>
      <c r="H9" s="252">
        <f>IF(B9&lt;&gt;0,((+C9+D9)/B9),(IF(C9&lt;&gt;0,1,0)))</f>
        <v>0.5658982979871402</v>
      </c>
      <c r="I9" s="252">
        <f>IF($B9&lt;&gt;0,(E9/$B9),(IF(E9&lt;&gt;0,1,0)))</f>
        <v>0.24423659458823574</v>
      </c>
      <c r="J9" s="252">
        <f>IF($B9&lt;&gt;0,(F9/$B9),(IF(F9&lt;&gt;0,1,0)))</f>
        <v>0</v>
      </c>
      <c r="K9" s="252">
        <f>IF($B9&lt;&gt;0,(G9/$B9),(IF(G9&lt;&gt;0,1,0)))</f>
        <v>0.18986510742462392</v>
      </c>
    </row>
    <row r="10" spans="1:11" ht="12.75">
      <c r="A10" s="3"/>
      <c r="B10" s="77"/>
      <c r="C10" s="253"/>
      <c r="D10" s="120"/>
      <c r="E10" s="115"/>
      <c r="F10" s="109"/>
      <c r="G10" s="109"/>
      <c r="H10" s="254"/>
      <c r="I10" s="254"/>
      <c r="J10" s="254"/>
      <c r="K10" s="254"/>
    </row>
    <row r="11" spans="1:11" ht="12.75">
      <c r="A11" t="s">
        <v>1</v>
      </c>
      <c r="B11" s="68">
        <f aca="true" t="shared" si="1" ref="B11:B38">SUM(C11:G11)</f>
        <v>21874788.660000004</v>
      </c>
      <c r="C11" s="246">
        <v>96720.42</v>
      </c>
      <c r="D11" s="246">
        <v>0</v>
      </c>
      <c r="E11" s="115">
        <v>19115007</v>
      </c>
      <c r="F11" s="246">
        <v>0</v>
      </c>
      <c r="G11" s="246">
        <v>2663061.24</v>
      </c>
      <c r="H11" s="255">
        <f aca="true" t="shared" si="2" ref="H11:H38">IF(B11&lt;&gt;0,((+C11+D11)/B11*100),(IF(C11&lt;&gt;0,1,0)))</f>
        <v>0.4421547631994356</v>
      </c>
      <c r="I11" s="255">
        <f>IF($B11&lt;&gt;0,(E11/$B11*100),(IF(E11&lt;&gt;0,1,0)))</f>
        <v>87.38373337957542</v>
      </c>
      <c r="J11" s="255">
        <f aca="true" t="shared" si="3" ref="J11:K15">IF($B11&lt;&gt;0,(F11/$B11*100),(IF(F11&lt;&gt;0,1,0)))</f>
        <v>0</v>
      </c>
      <c r="K11" s="255">
        <f t="shared" si="3"/>
        <v>12.174111857225139</v>
      </c>
    </row>
    <row r="12" spans="1:11" ht="12.75">
      <c r="A12" t="s">
        <v>2</v>
      </c>
      <c r="B12" s="68">
        <f t="shared" si="1"/>
        <v>91575228</v>
      </c>
      <c r="C12" s="246">
        <v>45924392</v>
      </c>
      <c r="D12" s="246">
        <v>896626</v>
      </c>
      <c r="E12" s="115">
        <v>16694255</v>
      </c>
      <c r="F12" s="246">
        <v>0</v>
      </c>
      <c r="G12" s="246">
        <v>28059955</v>
      </c>
      <c r="H12" s="255">
        <f t="shared" si="2"/>
        <v>51.12847548684236</v>
      </c>
      <c r="I12" s="255">
        <f>IF($B12&lt;&gt;0,(E12/$B12*100),(IF(E12&lt;&gt;0,1,0)))</f>
        <v>18.230099301527265</v>
      </c>
      <c r="J12" s="255">
        <f t="shared" si="3"/>
        <v>0</v>
      </c>
      <c r="K12" s="255">
        <f t="shared" si="3"/>
        <v>30.641425211630374</v>
      </c>
    </row>
    <row r="13" spans="1:11" ht="12.75">
      <c r="A13" t="s">
        <v>3</v>
      </c>
      <c r="B13" s="68">
        <f t="shared" si="1"/>
        <v>118803401.15</v>
      </c>
      <c r="C13" s="246">
        <v>24083453.55</v>
      </c>
      <c r="D13" s="246">
        <v>14841413.18</v>
      </c>
      <c r="E13" s="115">
        <v>19606633.42</v>
      </c>
      <c r="F13" s="246">
        <v>0</v>
      </c>
      <c r="G13" s="246">
        <v>60271901</v>
      </c>
      <c r="H13" s="255">
        <f>IF(B13&lt;&gt;0,((+C13+D13)/B13*100),(IF(C13&lt;&gt;0,1,0)))</f>
        <v>32.76410132472037</v>
      </c>
      <c r="I13" s="255">
        <f>IF($B13&lt;&gt;0,(E13/$B13*100),(IF(E13&lt;&gt;0,1,0)))</f>
        <v>16.503427705108255</v>
      </c>
      <c r="J13" s="255">
        <f t="shared" si="3"/>
        <v>0</v>
      </c>
      <c r="K13" s="255">
        <f t="shared" si="3"/>
        <v>50.73247097017137</v>
      </c>
    </row>
    <row r="14" spans="1:11" ht="12.75">
      <c r="A14" t="s">
        <v>4</v>
      </c>
      <c r="B14" s="68">
        <f t="shared" si="1"/>
        <v>156875157</v>
      </c>
      <c r="C14" s="246">
        <v>21525221</v>
      </c>
      <c r="D14" s="246">
        <v>0</v>
      </c>
      <c r="E14" s="115">
        <v>37290594</v>
      </c>
      <c r="F14" s="246">
        <v>0</v>
      </c>
      <c r="G14" s="246">
        <v>98059342</v>
      </c>
      <c r="H14" s="255">
        <f t="shared" si="2"/>
        <v>13.721242682166688</v>
      </c>
      <c r="I14" s="255">
        <f>IF($B14&lt;&gt;0,(E14/$B14*100),(IF(E14&lt;&gt;0,1,0)))</f>
        <v>23.770872783891463</v>
      </c>
      <c r="J14" s="255">
        <f t="shared" si="3"/>
        <v>0</v>
      </c>
      <c r="K14" s="255">
        <f t="shared" si="3"/>
        <v>62.50788453394185</v>
      </c>
    </row>
    <row r="15" spans="1:11" ht="12.75">
      <c r="A15" t="s">
        <v>5</v>
      </c>
      <c r="B15" s="68">
        <f t="shared" si="1"/>
        <v>6746055.16</v>
      </c>
      <c r="C15" s="246">
        <v>4105626.98</v>
      </c>
      <c r="D15" s="246">
        <v>3379.04</v>
      </c>
      <c r="E15" s="115">
        <v>2637049.14</v>
      </c>
      <c r="F15" s="246">
        <v>0</v>
      </c>
      <c r="G15" s="246">
        <v>0</v>
      </c>
      <c r="H15" s="255">
        <f t="shared" si="2"/>
        <v>60.90976018642576</v>
      </c>
      <c r="I15" s="255">
        <f>IF($B15&lt;&gt;0,(E15/$B15*100),(IF(E15&lt;&gt;0,1,0)))</f>
        <v>39.09023981357425</v>
      </c>
      <c r="J15" s="255">
        <f t="shared" si="3"/>
        <v>0</v>
      </c>
      <c r="K15" s="255">
        <f t="shared" si="3"/>
        <v>0</v>
      </c>
    </row>
    <row r="16" spans="2:11" ht="12.75">
      <c r="B16" s="68"/>
      <c r="C16" s="246"/>
      <c r="D16" s="246"/>
      <c r="E16" s="115"/>
      <c r="F16" s="246"/>
      <c r="G16" s="246"/>
      <c r="H16" s="255"/>
      <c r="I16" s="255"/>
      <c r="J16" s="255"/>
      <c r="K16" s="255"/>
    </row>
    <row r="17" spans="1:11" ht="12.75">
      <c r="A17" t="s">
        <v>6</v>
      </c>
      <c r="B17" s="68">
        <f t="shared" si="1"/>
        <v>9215167.37</v>
      </c>
      <c r="C17" s="246">
        <v>3651631.34</v>
      </c>
      <c r="D17" s="246">
        <v>42321.19</v>
      </c>
      <c r="E17" s="115">
        <v>5521214.84</v>
      </c>
      <c r="F17" s="246">
        <v>0</v>
      </c>
      <c r="G17" s="246">
        <v>0</v>
      </c>
      <c r="H17" s="255">
        <f t="shared" si="2"/>
        <v>40.085571771877646</v>
      </c>
      <c r="I17" s="255">
        <f>IF($B17&lt;&gt;0,(E17/$B17*100),(IF(E17&lt;&gt;0,1,0)))</f>
        <v>59.914428228122354</v>
      </c>
      <c r="J17" s="255">
        <f aca="true" t="shared" si="4" ref="J17:K21">IF($B17&lt;&gt;0,(F17/$B17*100),(IF(F17&lt;&gt;0,1,0)))</f>
        <v>0</v>
      </c>
      <c r="K17" s="255">
        <f t="shared" si="4"/>
        <v>0</v>
      </c>
    </row>
    <row r="18" spans="1:11" ht="12.75">
      <c r="A18" t="s">
        <v>7</v>
      </c>
      <c r="B18" s="68">
        <f t="shared" si="1"/>
        <v>34752358.17</v>
      </c>
      <c r="C18" s="246">
        <v>25774000</v>
      </c>
      <c r="D18" s="246">
        <v>0</v>
      </c>
      <c r="E18" s="115">
        <v>8978358.17</v>
      </c>
      <c r="F18" s="246">
        <v>0</v>
      </c>
      <c r="G18" s="246">
        <v>0</v>
      </c>
      <c r="H18" s="255">
        <f t="shared" si="2"/>
        <v>74.16475127794183</v>
      </c>
      <c r="I18" s="255">
        <f>IF($B18&lt;&gt;0,(E18/$B18*100),(IF(E18&lt;&gt;0,1,0)))</f>
        <v>25.835248722058157</v>
      </c>
      <c r="J18" s="255">
        <f t="shared" si="4"/>
        <v>0</v>
      </c>
      <c r="K18" s="255">
        <f t="shared" si="4"/>
        <v>0</v>
      </c>
    </row>
    <row r="19" spans="1:11" ht="12.75">
      <c r="A19" t="s">
        <v>8</v>
      </c>
      <c r="B19" s="68">
        <f t="shared" si="1"/>
        <v>37803852.5</v>
      </c>
      <c r="C19" s="246">
        <v>23253695.97</v>
      </c>
      <c r="D19" s="246">
        <v>249592.39</v>
      </c>
      <c r="E19" s="115">
        <v>14300564.14</v>
      </c>
      <c r="F19" s="246">
        <v>0</v>
      </c>
      <c r="G19" s="246">
        <v>0</v>
      </c>
      <c r="H19" s="255">
        <f>IF(B19&lt;&gt;0,((+C19+D19)/B19*100),(IF(C19&lt;&gt;0,1,0)))</f>
        <v>62.171675122264325</v>
      </c>
      <c r="I19" s="255">
        <f>IF($B19&lt;&gt;0,(E19/$B19*100),(IF(E19&lt;&gt;0,1,0)))</f>
        <v>37.828324877735675</v>
      </c>
      <c r="J19" s="255">
        <f t="shared" si="4"/>
        <v>0</v>
      </c>
      <c r="K19" s="255">
        <f t="shared" si="4"/>
        <v>0</v>
      </c>
    </row>
    <row r="20" spans="1:11" ht="12.75">
      <c r="A20" t="s">
        <v>9</v>
      </c>
      <c r="B20" s="68">
        <f t="shared" si="1"/>
        <v>26730669.419999998</v>
      </c>
      <c r="C20" s="246">
        <v>19972988.43</v>
      </c>
      <c r="D20" s="246">
        <v>1003.99</v>
      </c>
      <c r="E20" s="115">
        <v>6756677</v>
      </c>
      <c r="F20" s="246">
        <v>0</v>
      </c>
      <c r="G20" s="246">
        <v>0</v>
      </c>
      <c r="H20" s="255">
        <f t="shared" si="2"/>
        <v>74.7231283517927</v>
      </c>
      <c r="I20" s="255">
        <f>IF($B20&lt;&gt;0,(E20/$B20*100),(IF(E20&lt;&gt;0,1,0)))</f>
        <v>25.276871648207305</v>
      </c>
      <c r="J20" s="255">
        <f t="shared" si="4"/>
        <v>0</v>
      </c>
      <c r="K20" s="255">
        <f t="shared" si="4"/>
        <v>0</v>
      </c>
    </row>
    <row r="21" spans="1:11" ht="12.75">
      <c r="A21" t="s">
        <v>10</v>
      </c>
      <c r="B21" s="68">
        <f t="shared" si="1"/>
        <v>2508502</v>
      </c>
      <c r="C21" s="246">
        <v>2024465</v>
      </c>
      <c r="D21" s="246">
        <v>0</v>
      </c>
      <c r="E21" s="115">
        <v>484037</v>
      </c>
      <c r="F21" s="116">
        <v>0</v>
      </c>
      <c r="G21" s="246">
        <v>0</v>
      </c>
      <c r="H21" s="255">
        <f t="shared" si="2"/>
        <v>80.70414135607625</v>
      </c>
      <c r="I21" s="255">
        <f>IF($B21&lt;&gt;0,(E21/$B21*100),(IF(E21&lt;&gt;0,1,0)))</f>
        <v>19.295858643923744</v>
      </c>
      <c r="J21" s="255">
        <f t="shared" si="4"/>
        <v>0</v>
      </c>
      <c r="K21" s="255">
        <f t="shared" si="4"/>
        <v>0</v>
      </c>
    </row>
    <row r="22" spans="2:11" ht="12.75">
      <c r="B22" s="68"/>
      <c r="C22" s="246"/>
      <c r="D22" s="246"/>
      <c r="E22" s="115"/>
      <c r="F22" s="246"/>
      <c r="G22" s="246"/>
      <c r="H22" s="255"/>
      <c r="I22" s="255"/>
      <c r="J22" s="255"/>
      <c r="K22" s="255"/>
    </row>
    <row r="23" spans="1:11" ht="12.75">
      <c r="A23" t="s">
        <v>11</v>
      </c>
      <c r="B23" s="68">
        <f t="shared" si="1"/>
        <v>48850456</v>
      </c>
      <c r="C23" s="246">
        <v>19955167</v>
      </c>
      <c r="D23" s="246">
        <v>147507</v>
      </c>
      <c r="E23" s="115">
        <v>18591345</v>
      </c>
      <c r="F23" s="246">
        <v>0</v>
      </c>
      <c r="G23" s="246">
        <v>10156437</v>
      </c>
      <c r="H23" s="255">
        <f t="shared" si="2"/>
        <v>41.15145619111519</v>
      </c>
      <c r="I23" s="255">
        <f>IF($B23&lt;&gt;0,(E23/$B23*100),(IF(E23&lt;&gt;0,1,0)))</f>
        <v>38.057669308143204</v>
      </c>
      <c r="J23" s="255">
        <f aca="true" t="shared" si="5" ref="J23:K27">IF($B23&lt;&gt;0,(F23/$B23*100),(IF(F23&lt;&gt;0,1,0)))</f>
        <v>0</v>
      </c>
      <c r="K23" s="255">
        <f t="shared" si="5"/>
        <v>20.79087450074161</v>
      </c>
    </row>
    <row r="24" spans="1:11" ht="12.75">
      <c r="A24" t="s">
        <v>12</v>
      </c>
      <c r="B24" s="68">
        <f t="shared" si="1"/>
        <v>829176.72</v>
      </c>
      <c r="C24" s="246">
        <v>829176.72</v>
      </c>
      <c r="D24" s="246">
        <v>0</v>
      </c>
      <c r="E24" s="115">
        <v>0</v>
      </c>
      <c r="F24" s="246">
        <v>0</v>
      </c>
      <c r="G24" s="246">
        <v>0</v>
      </c>
      <c r="H24" s="255">
        <f t="shared" si="2"/>
        <v>100</v>
      </c>
      <c r="I24" s="255">
        <f>IF($B24&lt;&gt;0,(E24/$B24*100),(IF(E24&lt;&gt;0,1,0)))</f>
        <v>0</v>
      </c>
      <c r="J24" s="255">
        <f t="shared" si="5"/>
        <v>0</v>
      </c>
      <c r="K24" s="255">
        <f t="shared" si="5"/>
        <v>0</v>
      </c>
    </row>
    <row r="25" spans="1:11" ht="12.75">
      <c r="A25" t="s">
        <v>13</v>
      </c>
      <c r="B25" s="68">
        <f t="shared" si="1"/>
        <v>47974687.32</v>
      </c>
      <c r="C25" s="246">
        <v>39514944.18</v>
      </c>
      <c r="D25" s="246">
        <v>779615.14</v>
      </c>
      <c r="E25" s="115">
        <v>7648277</v>
      </c>
      <c r="F25" s="246">
        <v>0</v>
      </c>
      <c r="G25" s="246">
        <v>31851</v>
      </c>
      <c r="H25" s="255">
        <f>IF(B25&lt;&gt;0,((+C25+D25)/B25*100),(IF(C25&lt;&gt;0,1,0)))</f>
        <v>83.99129118075928</v>
      </c>
      <c r="I25" s="255">
        <f>IF($B25&lt;&gt;0,(E25/$B25*100),(IF(E25&lt;&gt;0,1,0)))</f>
        <v>15.942317557975072</v>
      </c>
      <c r="J25" s="255">
        <f t="shared" si="5"/>
        <v>0</v>
      </c>
      <c r="K25" s="255">
        <f t="shared" si="5"/>
        <v>0.06639126126565029</v>
      </c>
    </row>
    <row r="26" spans="1:11" ht="12.75">
      <c r="A26" t="s">
        <v>14</v>
      </c>
      <c r="B26" s="68">
        <f t="shared" si="1"/>
        <v>88504588</v>
      </c>
      <c r="C26" s="246">
        <v>84962786</v>
      </c>
      <c r="D26" s="246">
        <v>366444</v>
      </c>
      <c r="E26" s="115">
        <v>3175358</v>
      </c>
      <c r="F26" s="246">
        <v>0</v>
      </c>
      <c r="G26" s="246">
        <v>0</v>
      </c>
      <c r="H26" s="255">
        <f>IF(B26&lt;&gt;0,((+C27+D26)/B26*100),(IF(C27&lt;&gt;0,1,0)))</f>
        <v>2.5603497527156445</v>
      </c>
      <c r="I26" s="255">
        <f>IF($B26&lt;&gt;0,(E26/$B26*100),(IF(E26&lt;&gt;0,1,0)))</f>
        <v>3.587789143767327</v>
      </c>
      <c r="J26" s="255">
        <f t="shared" si="5"/>
        <v>0</v>
      </c>
      <c r="K26" s="255">
        <f t="shared" si="5"/>
        <v>0</v>
      </c>
    </row>
    <row r="27" spans="1:11" ht="12.75">
      <c r="A27" t="s">
        <v>15</v>
      </c>
      <c r="B27" s="68">
        <f>SUM(C27:G27)</f>
        <v>4533167</v>
      </c>
      <c r="C27" s="246">
        <v>1899583</v>
      </c>
      <c r="D27" s="246">
        <v>0</v>
      </c>
      <c r="E27" s="115">
        <v>2633584</v>
      </c>
      <c r="F27" s="246">
        <v>0</v>
      </c>
      <c r="G27" s="246">
        <v>0</v>
      </c>
      <c r="H27" s="255">
        <f>IF(B27&lt;&gt;0,((+C28+D27)/B27*100),(IF(C28&lt;&gt;0,1,0)))</f>
        <v>0</v>
      </c>
      <c r="I27" s="255">
        <f>IF($B27&lt;&gt;0,(E27/$B27*100),(IF(E27&lt;&gt;0,1,0)))</f>
        <v>58.09589631266617</v>
      </c>
      <c r="J27" s="255">
        <f t="shared" si="5"/>
        <v>0</v>
      </c>
      <c r="K27" s="255">
        <f t="shared" si="5"/>
        <v>0</v>
      </c>
    </row>
    <row r="28" spans="2:11" ht="12.75">
      <c r="B28" s="68"/>
      <c r="C28" s="135"/>
      <c r="E28" s="115"/>
      <c r="F28" s="246"/>
      <c r="G28" s="246"/>
      <c r="H28" s="255"/>
      <c r="I28" s="255"/>
      <c r="J28" s="255"/>
      <c r="K28" s="255"/>
    </row>
    <row r="29" spans="1:11" ht="12.75">
      <c r="A29" t="s">
        <v>16</v>
      </c>
      <c r="B29" s="68">
        <f t="shared" si="1"/>
        <v>170519690.03</v>
      </c>
      <c r="C29" s="246">
        <v>128661467.7</v>
      </c>
      <c r="D29" s="246">
        <v>0</v>
      </c>
      <c r="E29" s="115">
        <v>41858222.33</v>
      </c>
      <c r="F29" s="246">
        <v>0</v>
      </c>
      <c r="G29" s="246">
        <v>0</v>
      </c>
      <c r="H29" s="255">
        <f>IF(B29&lt;&gt;0,((+C30+D30)/B29*100),(IF(C30&lt;&gt;0,1,0)))</f>
        <v>50.69508922095242</v>
      </c>
      <c r="I29" s="255">
        <f>IF($B29&lt;&gt;0,(E29/$B29*100),(IF(E29&lt;&gt;0,1,0)))</f>
        <v>24.54744218842749</v>
      </c>
      <c r="J29" s="255">
        <f aca="true" t="shared" si="6" ref="J29:K33">IF($B29&lt;&gt;0,(F29/$B29*100),(IF(F29&lt;&gt;0,1,0)))</f>
        <v>0</v>
      </c>
      <c r="K29" s="255">
        <f t="shared" si="6"/>
        <v>0</v>
      </c>
    </row>
    <row r="30" spans="1:11" ht="12.75">
      <c r="A30" t="s">
        <v>17</v>
      </c>
      <c r="B30" s="68">
        <f t="shared" si="1"/>
        <v>99584922</v>
      </c>
      <c r="C30" s="246">
        <v>50666336.28</v>
      </c>
      <c r="D30" s="246">
        <v>35778772.72</v>
      </c>
      <c r="E30" s="115">
        <v>13139813</v>
      </c>
      <c r="F30" s="246">
        <v>0</v>
      </c>
      <c r="G30" s="246">
        <v>0</v>
      </c>
      <c r="H30" s="255">
        <f>IF(B30&lt;&gt;0,((+C31+D31)/B30*100),(IF(C31&lt;&gt;0,1,0)))</f>
        <v>15.221542644779099</v>
      </c>
      <c r="I30" s="255">
        <f>IF($B30&lt;&gt;0,(E30/$B30*100),(IF(E30&lt;&gt;0,1,0)))</f>
        <v>13.194580802101749</v>
      </c>
      <c r="J30" s="255">
        <f t="shared" si="6"/>
        <v>0</v>
      </c>
      <c r="K30" s="255">
        <f t="shared" si="6"/>
        <v>0</v>
      </c>
    </row>
    <row r="31" spans="1:11" ht="12.75">
      <c r="A31" t="s">
        <v>18</v>
      </c>
      <c r="B31" s="68">
        <f t="shared" si="1"/>
        <v>19523077.37</v>
      </c>
      <c r="C31" s="246">
        <v>14636402.64</v>
      </c>
      <c r="D31" s="246">
        <v>521958.73</v>
      </c>
      <c r="E31" s="115">
        <v>4364716</v>
      </c>
      <c r="F31" s="246">
        <v>0</v>
      </c>
      <c r="G31" s="246">
        <v>0</v>
      </c>
      <c r="H31" s="255">
        <f>IF(B31&lt;&gt;0,((+C32+D32)/B31*100),(IF(C32&lt;&gt;0,1,0)))</f>
        <v>37.96279874088313</v>
      </c>
      <c r="I31" s="255">
        <f>IF($B31&lt;&gt;0,(E31/$B31*100),(IF(E31&lt;&gt;0,1,0)))</f>
        <v>22.356700827847</v>
      </c>
      <c r="J31" s="255">
        <f t="shared" si="6"/>
        <v>0</v>
      </c>
      <c r="K31" s="255">
        <f t="shared" si="6"/>
        <v>0</v>
      </c>
    </row>
    <row r="32" spans="1:11" ht="12.75">
      <c r="A32" t="s">
        <v>19</v>
      </c>
      <c r="B32" s="68">
        <f t="shared" si="1"/>
        <v>13644511.77</v>
      </c>
      <c r="C32" s="246">
        <v>7410537.35</v>
      </c>
      <c r="D32" s="246">
        <v>969.22</v>
      </c>
      <c r="E32" s="115">
        <v>6233005.2</v>
      </c>
      <c r="F32" s="246">
        <v>0</v>
      </c>
      <c r="G32" s="246">
        <v>0</v>
      </c>
      <c r="H32" s="255">
        <f>IF(B32&lt;&gt;0,((+C32+D32)/B32*100),(IF(C32&lt;&gt;0,1,0)))</f>
        <v>54.31859120306215</v>
      </c>
      <c r="I32" s="255">
        <f>IF($B32&lt;&gt;0,(E32/$B32*100),(IF(E32&lt;&gt;0,1,0)))</f>
        <v>45.68140879693785</v>
      </c>
      <c r="J32" s="255">
        <f t="shared" si="6"/>
        <v>0</v>
      </c>
      <c r="K32" s="255">
        <f t="shared" si="6"/>
        <v>0</v>
      </c>
    </row>
    <row r="33" spans="1:11" ht="12.75">
      <c r="A33" t="s">
        <v>20</v>
      </c>
      <c r="B33" s="68">
        <f t="shared" si="1"/>
        <v>14422885.26</v>
      </c>
      <c r="C33" s="246">
        <v>1830703.26</v>
      </c>
      <c r="D33" s="246">
        <v>0</v>
      </c>
      <c r="E33" s="115">
        <v>12592182</v>
      </c>
      <c r="F33" s="246">
        <v>0</v>
      </c>
      <c r="G33" s="246">
        <v>0</v>
      </c>
      <c r="H33" s="255">
        <f t="shared" si="2"/>
        <v>12.693044609300316</v>
      </c>
      <c r="I33" s="255">
        <f>IF($B33&lt;&gt;0,(E33/$B33*100),(IF(E33&lt;&gt;0,1,0)))</f>
        <v>87.30695539069968</v>
      </c>
      <c r="J33" s="255">
        <f t="shared" si="6"/>
        <v>0</v>
      </c>
      <c r="K33" s="255">
        <f t="shared" si="6"/>
        <v>0</v>
      </c>
    </row>
    <row r="34" spans="2:11" ht="12.75">
      <c r="B34" s="68"/>
      <c r="C34" s="246"/>
      <c r="D34" s="246"/>
      <c r="E34" s="115"/>
      <c r="F34" s="246"/>
      <c r="G34" s="246"/>
      <c r="H34" s="255"/>
      <c r="I34" s="255"/>
      <c r="J34" s="255"/>
      <c r="K34" s="255"/>
    </row>
    <row r="35" spans="1:11" ht="12.75">
      <c r="A35" t="s">
        <v>21</v>
      </c>
      <c r="B35" s="68">
        <f t="shared" si="1"/>
        <v>172708.47</v>
      </c>
      <c r="C35" s="246">
        <v>39823.47</v>
      </c>
      <c r="D35" s="246">
        <v>0</v>
      </c>
      <c r="E35" s="115">
        <v>132885</v>
      </c>
      <c r="F35" s="246">
        <v>0</v>
      </c>
      <c r="G35" s="246">
        <v>0</v>
      </c>
      <c r="H35" s="255">
        <f t="shared" si="2"/>
        <v>23.058203225354262</v>
      </c>
      <c r="I35" s="255">
        <f>IF($B35&lt;&gt;0,(E35/$B35*100),(IF(E35&lt;&gt;0,1,0)))</f>
        <v>76.94179677464574</v>
      </c>
      <c r="J35" s="255">
        <f aca="true" t="shared" si="7" ref="J35:K38">IF($B35&lt;&gt;0,(F35/$B35*100),(IF(F35&lt;&gt;0,1,0)))</f>
        <v>0</v>
      </c>
      <c r="K35" s="255">
        <f t="shared" si="7"/>
        <v>0</v>
      </c>
    </row>
    <row r="36" spans="1:11" ht="12.75">
      <c r="A36" t="s">
        <v>22</v>
      </c>
      <c r="B36" s="68">
        <f t="shared" si="1"/>
        <v>13843548.51</v>
      </c>
      <c r="C36" s="246">
        <v>10677012</v>
      </c>
      <c r="D36" s="246">
        <v>0</v>
      </c>
      <c r="E36" s="115">
        <v>2220791</v>
      </c>
      <c r="F36" s="246">
        <v>0</v>
      </c>
      <c r="G36" s="246">
        <v>945745.51</v>
      </c>
      <c r="H36" s="255">
        <f t="shared" si="2"/>
        <v>77.12626565571229</v>
      </c>
      <c r="I36" s="255">
        <f>IF($B36&lt;&gt;0,(E36/$B36*100),(IF(E36&lt;&gt;0,1,0)))</f>
        <v>16.04206463679304</v>
      </c>
      <c r="J36" s="255">
        <f t="shared" si="7"/>
        <v>0</v>
      </c>
      <c r="K36" s="255">
        <f t="shared" si="7"/>
        <v>6.831669707494672</v>
      </c>
    </row>
    <row r="37" spans="1:11" ht="12.75">
      <c r="A37" t="s">
        <v>23</v>
      </c>
      <c r="B37" s="68">
        <f t="shared" si="1"/>
        <v>16892814.49</v>
      </c>
      <c r="C37" s="246">
        <v>0</v>
      </c>
      <c r="D37" s="246">
        <v>9770170.61</v>
      </c>
      <c r="E37" s="115">
        <v>7122643.88</v>
      </c>
      <c r="F37" s="246">
        <v>0</v>
      </c>
      <c r="G37" s="116">
        <v>0</v>
      </c>
      <c r="H37" s="255">
        <f t="shared" si="2"/>
        <v>57.83625112194078</v>
      </c>
      <c r="I37" s="255">
        <f>IF($B37&lt;&gt;0,(E37/$B37*100),(IF(E37&lt;&gt;0,1,0)))</f>
        <v>42.163748878059224</v>
      </c>
      <c r="J37" s="255">
        <f t="shared" si="7"/>
        <v>0</v>
      </c>
      <c r="K37" s="255">
        <f t="shared" si="7"/>
        <v>0</v>
      </c>
    </row>
    <row r="38" spans="1:11" ht="12.75">
      <c r="A38" s="13" t="s">
        <v>24</v>
      </c>
      <c r="B38" s="69">
        <f t="shared" si="1"/>
        <v>8189743.369999999</v>
      </c>
      <c r="C38" s="249">
        <v>1770368.13</v>
      </c>
      <c r="D38" s="249">
        <v>566.85</v>
      </c>
      <c r="E38" s="217">
        <v>6418808.39</v>
      </c>
      <c r="F38" s="256">
        <v>0</v>
      </c>
      <c r="G38" s="249">
        <v>0</v>
      </c>
      <c r="H38" s="257">
        <f t="shared" si="2"/>
        <v>21.62381530155322</v>
      </c>
      <c r="I38" s="257">
        <f>IF($B38&lt;&gt;0,(E38/$B38*100),(IF(E38&lt;&gt;0,1,0)))</f>
        <v>78.37618469844678</v>
      </c>
      <c r="J38" s="257">
        <f t="shared" si="7"/>
        <v>0</v>
      </c>
      <c r="K38" s="257">
        <f t="shared" si="7"/>
        <v>0</v>
      </c>
    </row>
    <row r="39" spans="1:10" ht="12.75">
      <c r="A39" s="22" t="s">
        <v>286</v>
      </c>
      <c r="B39" s="3"/>
      <c r="C39" s="73"/>
      <c r="D39" s="73"/>
      <c r="E39" s="73"/>
      <c r="F39" s="73"/>
      <c r="G39" s="73"/>
      <c r="H39" s="87"/>
      <c r="I39" s="87"/>
      <c r="J39" s="87"/>
    </row>
    <row r="40" spans="1:4" ht="12.75">
      <c r="A40" s="22"/>
      <c r="D40" s="258"/>
    </row>
    <row r="41" ht="12.75">
      <c r="D41" s="258"/>
    </row>
    <row r="42" ht="12.75">
      <c r="D42" s="258"/>
    </row>
    <row r="43" ht="12.75">
      <c r="D43" s="258"/>
    </row>
    <row r="44" ht="12.75">
      <c r="D44" s="258"/>
    </row>
    <row r="45" ht="12.75">
      <c r="D45" s="258"/>
    </row>
  </sheetData>
  <sheetProtection password="CAF5" sheet="1" objects="1" scenarios="1"/>
  <mergeCells count="8">
    <mergeCell ref="A1:K1"/>
    <mergeCell ref="A3:K3"/>
    <mergeCell ref="C7:D7"/>
    <mergeCell ref="A4:J4"/>
    <mergeCell ref="C6:F6"/>
    <mergeCell ref="H6:K6"/>
    <mergeCell ref="E7:E8"/>
    <mergeCell ref="F7:F8"/>
  </mergeCells>
  <printOptions horizontalCentered="1"/>
  <pageMargins left="0.5" right="0.52" top="0.83" bottom="1" header="0.67" footer="0.5"/>
  <pageSetup fitToHeight="1" fitToWidth="1" horizontalDpi="600" verticalDpi="600" orientation="landscape" scale="10" r:id="rId1"/>
  <headerFooter alignWithMargins="0">
    <oddFooter>&amp;L&amp;"Arial,Italic"&amp;9MSDE-DBS  10 / 2008&amp;C- 4 -&amp;R&amp;"Arial,Italic"&amp;9Selected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B1">
      <pane ySplit="9" topLeftCell="BM10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15.7109375" style="159" customWidth="1"/>
    <col min="2" max="3" width="14.8515625" style="159" customWidth="1"/>
    <col min="4" max="4" width="13.28125" style="159" customWidth="1"/>
    <col min="5" max="5" width="14.8515625" style="159" customWidth="1"/>
    <col min="6" max="7" width="13.28125" style="159" customWidth="1"/>
    <col min="8" max="8" width="2.7109375" style="159" customWidth="1"/>
    <col min="9" max="11" width="9.140625" style="159" customWidth="1"/>
    <col min="12" max="12" width="11.57421875" style="159" customWidth="1"/>
    <col min="13" max="13" width="9.140625" style="159" customWidth="1"/>
  </cols>
  <sheetData>
    <row r="1" spans="1:13" ht="12.75">
      <c r="A1" s="417" t="s">
        <v>96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124"/>
      <c r="M1" s="124"/>
    </row>
    <row r="2" spans="1:13" ht="12.75">
      <c r="A2" s="259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417" t="s">
        <v>221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124"/>
      <c r="M3" s="124"/>
    </row>
    <row r="4" spans="1:13" ht="12.75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124"/>
      <c r="M4" s="124"/>
    </row>
    <row r="5" spans="1:13" ht="13.5" thickBot="1">
      <c r="A5" s="124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124"/>
    </row>
    <row r="6" spans="1:56" ht="15" customHeight="1" thickTop="1">
      <c r="A6" s="198" t="s">
        <v>85</v>
      </c>
      <c r="B6" s="200" t="s">
        <v>47</v>
      </c>
      <c r="C6" s="418" t="s">
        <v>88</v>
      </c>
      <c r="D6" s="418"/>
      <c r="E6" s="418"/>
      <c r="F6" s="418"/>
      <c r="G6" s="261"/>
      <c r="H6" s="261"/>
      <c r="I6" s="418" t="s">
        <v>90</v>
      </c>
      <c r="J6" s="418"/>
      <c r="K6" s="418"/>
      <c r="L6" s="418"/>
      <c r="M6" s="26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</row>
    <row r="7" spans="1:13" ht="12.75">
      <c r="A7" s="261" t="s">
        <v>35</v>
      </c>
      <c r="B7" s="201" t="s">
        <v>91</v>
      </c>
      <c r="C7" s="416" t="s">
        <v>85</v>
      </c>
      <c r="D7" s="416"/>
      <c r="E7" s="243"/>
      <c r="F7" s="243"/>
      <c r="G7" s="201" t="s">
        <v>87</v>
      </c>
      <c r="H7" s="201"/>
      <c r="I7" s="200"/>
      <c r="J7" s="200"/>
      <c r="K7" s="200"/>
      <c r="L7" s="200" t="s">
        <v>87</v>
      </c>
      <c r="M7" s="124"/>
    </row>
    <row r="8" spans="1:13" ht="13.5" thickBot="1">
      <c r="A8" s="263" t="s">
        <v>144</v>
      </c>
      <c r="B8" s="202" t="s">
        <v>92</v>
      </c>
      <c r="C8" s="264" t="s">
        <v>86</v>
      </c>
      <c r="D8" s="264" t="s">
        <v>284</v>
      </c>
      <c r="E8" s="264" t="s">
        <v>48</v>
      </c>
      <c r="F8" s="264" t="s">
        <v>55</v>
      </c>
      <c r="G8" s="264" t="s">
        <v>89</v>
      </c>
      <c r="H8" s="264"/>
      <c r="I8" s="202" t="s">
        <v>85</v>
      </c>
      <c r="J8" s="202" t="s">
        <v>48</v>
      </c>
      <c r="K8" s="265" t="s">
        <v>55</v>
      </c>
      <c r="L8" s="264" t="s">
        <v>89</v>
      </c>
      <c r="M8" s="124"/>
    </row>
    <row r="9" spans="1:13" ht="12.75">
      <c r="A9" s="261" t="s">
        <v>0</v>
      </c>
      <c r="B9" s="137">
        <f aca="true" t="shared" si="0" ref="B9:G9">SUM(B11:B38)</f>
        <v>327415141.19</v>
      </c>
      <c r="C9" s="137">
        <f t="shared" si="0"/>
        <v>318273760.05</v>
      </c>
      <c r="D9" s="137">
        <f>SUM(D11:D38)</f>
        <v>9141381.14</v>
      </c>
      <c r="E9" s="137">
        <f t="shared" si="0"/>
        <v>0</v>
      </c>
      <c r="F9" s="137">
        <f t="shared" si="0"/>
        <v>0</v>
      </c>
      <c r="G9" s="137">
        <f t="shared" si="0"/>
        <v>0</v>
      </c>
      <c r="H9" s="137"/>
      <c r="I9" s="266">
        <f>IF(B9&lt;&gt;0,((+C9+D9)/B9),(IF(C9&lt;&gt;0,1,0)))</f>
        <v>1</v>
      </c>
      <c r="J9" s="266">
        <f>IF($B9&lt;&gt;0,(E9/$B9),(IF(E9&lt;&gt;0,1,0)))</f>
        <v>0</v>
      </c>
      <c r="K9" s="266">
        <f>IF($B9&lt;&gt;0,(F9/$B9),(IF(F9&lt;&gt;0,1,0)))</f>
        <v>0</v>
      </c>
      <c r="L9" s="266">
        <f>IF($B9&lt;&gt;0,(G9/$B9),(IF(G9&lt;&gt;0,1,0)))</f>
        <v>0</v>
      </c>
      <c r="M9" s="124"/>
    </row>
    <row r="10" spans="1:13" ht="12.75">
      <c r="A10" s="261"/>
      <c r="B10" s="243"/>
      <c r="C10" s="243"/>
      <c r="D10" s="221"/>
      <c r="E10" s="200"/>
      <c r="F10" s="200"/>
      <c r="G10" s="200"/>
      <c r="H10" s="200"/>
      <c r="I10" s="268"/>
      <c r="J10" s="268"/>
      <c r="K10" s="244"/>
      <c r="L10" s="244"/>
      <c r="M10" s="124"/>
    </row>
    <row r="11" spans="1:12" ht="12.75">
      <c r="A11" s="124" t="s">
        <v>1</v>
      </c>
      <c r="B11" s="199">
        <f aca="true" t="shared" si="1" ref="B11:B29">SUM(C11:G11)</f>
        <v>1527656</v>
      </c>
      <c r="C11" s="248">
        <v>1527656</v>
      </c>
      <c r="D11" s="120">
        <v>0</v>
      </c>
      <c r="E11" s="156">
        <v>0</v>
      </c>
      <c r="F11" s="156">
        <v>0</v>
      </c>
      <c r="G11" s="156">
        <v>0</v>
      </c>
      <c r="H11" s="160"/>
      <c r="I11" s="162">
        <f aca="true" t="shared" si="2" ref="I11:I38">IF(B11&lt;&gt;0,((+C11+D11)/B11*100),(IF(C11&lt;&gt;0,1,0)))</f>
        <v>100</v>
      </c>
      <c r="J11" s="162">
        <f>IF($B11&lt;&gt;0,(E11/$B11*100),(IF(E11&lt;&gt;0,1,0)))</f>
        <v>0</v>
      </c>
      <c r="K11" s="162">
        <f aca="true" t="shared" si="3" ref="K11:L15">IF($B11&lt;&gt;0,(F11/$B11*100),(IF(F11&lt;&gt;0,1,0)))</f>
        <v>0</v>
      </c>
      <c r="L11" s="162">
        <f t="shared" si="3"/>
        <v>0</v>
      </c>
    </row>
    <row r="12" spans="1:12" ht="12.75">
      <c r="A12" s="159" t="s">
        <v>2</v>
      </c>
      <c r="B12" s="160">
        <f t="shared" si="1"/>
        <v>28662572</v>
      </c>
      <c r="C12" s="269">
        <v>28662572</v>
      </c>
      <c r="D12" s="156">
        <v>0</v>
      </c>
      <c r="E12" s="156">
        <v>0</v>
      </c>
      <c r="F12" s="156">
        <v>0</v>
      </c>
      <c r="G12" s="156">
        <v>0</v>
      </c>
      <c r="H12" s="163"/>
      <c r="I12" s="162">
        <f t="shared" si="2"/>
        <v>100</v>
      </c>
      <c r="J12" s="162">
        <f>IF($B12&lt;&gt;0,(E12/$B12*100),(IF(E12&lt;&gt;0,1,0)))</f>
        <v>0</v>
      </c>
      <c r="K12" s="162">
        <f t="shared" si="3"/>
        <v>0</v>
      </c>
      <c r="L12" s="162">
        <f t="shared" si="3"/>
        <v>0</v>
      </c>
    </row>
    <row r="13" spans="1:12" ht="12.75">
      <c r="A13" s="159" t="s">
        <v>285</v>
      </c>
      <c r="B13" s="160">
        <f>SUM(C13:G13)</f>
        <v>7767742.06</v>
      </c>
      <c r="C13" s="161">
        <v>7767742.06</v>
      </c>
      <c r="D13" s="156">
        <v>0</v>
      </c>
      <c r="E13" s="120">
        <v>0</v>
      </c>
      <c r="F13" s="156">
        <v>0</v>
      </c>
      <c r="G13" s="156">
        <v>0</v>
      </c>
      <c r="H13" s="163"/>
      <c r="I13" s="162">
        <f>IF(B13&lt;&gt;0,((+C13+D13)/B13*100),(IF(C13&lt;&gt;0,1,0)))</f>
        <v>100</v>
      </c>
      <c r="J13" s="162">
        <f>IF($B13&lt;&gt;0,(E13/$B13*100),(IF(E13&lt;&gt;0,1,0)))</f>
        <v>0</v>
      </c>
      <c r="K13" s="162">
        <f t="shared" si="3"/>
        <v>0</v>
      </c>
      <c r="L13" s="162">
        <f>IF($B13&lt;&gt;0,(G13/$B13*100),(IF(G13&lt;&gt;0,1,0)))</f>
        <v>0</v>
      </c>
    </row>
    <row r="14" spans="1:12" ht="12.75">
      <c r="A14" s="159" t="s">
        <v>4</v>
      </c>
      <c r="B14" s="160">
        <f t="shared" si="1"/>
        <v>24693620</v>
      </c>
      <c r="C14" s="269">
        <v>24693620</v>
      </c>
      <c r="D14" s="156">
        <v>0</v>
      </c>
      <c r="E14" s="156">
        <v>0</v>
      </c>
      <c r="F14" s="156">
        <v>0</v>
      </c>
      <c r="G14" s="156">
        <v>0</v>
      </c>
      <c r="H14" s="163"/>
      <c r="I14" s="162">
        <f t="shared" si="2"/>
        <v>100</v>
      </c>
      <c r="J14" s="162">
        <f>IF($B14&lt;&gt;0,(E14/$B14*100),(IF(E14&lt;&gt;0,1,0)))</f>
        <v>0</v>
      </c>
      <c r="K14" s="162">
        <f t="shared" si="3"/>
        <v>0</v>
      </c>
      <c r="L14" s="162">
        <f t="shared" si="3"/>
        <v>0</v>
      </c>
    </row>
    <row r="15" spans="1:12" ht="12.75">
      <c r="A15" s="159" t="s">
        <v>5</v>
      </c>
      <c r="B15" s="160">
        <f t="shared" si="1"/>
        <v>5290896</v>
      </c>
      <c r="C15" s="269">
        <v>5290896</v>
      </c>
      <c r="D15" s="156">
        <v>0</v>
      </c>
      <c r="E15" s="156">
        <v>0</v>
      </c>
      <c r="F15" s="156">
        <v>0</v>
      </c>
      <c r="G15" s="156">
        <v>0</v>
      </c>
      <c r="H15" s="163"/>
      <c r="I15" s="162">
        <f t="shared" si="2"/>
        <v>100</v>
      </c>
      <c r="J15" s="162">
        <f>IF($B15&lt;&gt;0,(E15/$B15*100),(IF(E15&lt;&gt;0,1,0)))</f>
        <v>0</v>
      </c>
      <c r="K15" s="162">
        <f t="shared" si="3"/>
        <v>0</v>
      </c>
      <c r="L15" s="162">
        <f t="shared" si="3"/>
        <v>0</v>
      </c>
    </row>
    <row r="16" spans="2:12" ht="12.75">
      <c r="B16" s="160"/>
      <c r="C16" s="161"/>
      <c r="D16" s="156"/>
      <c r="E16" s="156"/>
      <c r="F16" s="156"/>
      <c r="G16" s="156"/>
      <c r="H16" s="163"/>
      <c r="I16" s="162"/>
      <c r="J16" s="162"/>
      <c r="K16" s="162"/>
      <c r="L16" s="162"/>
    </row>
    <row r="17" spans="1:12" ht="12.75">
      <c r="A17" s="159" t="s">
        <v>6</v>
      </c>
      <c r="B17" s="160">
        <f t="shared" si="1"/>
        <v>1061739.06</v>
      </c>
      <c r="C17" s="156">
        <v>0</v>
      </c>
      <c r="D17" s="156">
        <v>1061739.06</v>
      </c>
      <c r="E17" s="156">
        <v>0</v>
      </c>
      <c r="F17" s="156">
        <v>0</v>
      </c>
      <c r="G17" s="156">
        <v>0</v>
      </c>
      <c r="H17" s="163"/>
      <c r="I17" s="162">
        <f t="shared" si="2"/>
        <v>100</v>
      </c>
      <c r="J17" s="162">
        <f>IF($B17&lt;&gt;0,(E17/$B17*100),(IF(E17&lt;&gt;0,1,0)))</f>
        <v>0</v>
      </c>
      <c r="K17" s="162">
        <f aca="true" t="shared" si="4" ref="K17:L21">IF($B17&lt;&gt;0,(F17/$B17*100),(IF(F17&lt;&gt;0,1,0)))</f>
        <v>0</v>
      </c>
      <c r="L17" s="162">
        <f t="shared" si="4"/>
        <v>0</v>
      </c>
    </row>
    <row r="18" spans="1:12" ht="12.75">
      <c r="A18" s="159" t="s">
        <v>7</v>
      </c>
      <c r="B18" s="160">
        <f t="shared" si="1"/>
        <v>9268782.85</v>
      </c>
      <c r="C18" s="246">
        <v>9268782.85</v>
      </c>
      <c r="D18" s="156">
        <v>0</v>
      </c>
      <c r="E18" s="156">
        <v>0</v>
      </c>
      <c r="F18" s="156">
        <v>0</v>
      </c>
      <c r="G18" s="156">
        <v>0</v>
      </c>
      <c r="H18" s="163"/>
      <c r="I18" s="162">
        <f t="shared" si="2"/>
        <v>100</v>
      </c>
      <c r="J18" s="162">
        <f>IF($B18&lt;&gt;0,(E18/$B18*100),(IF(E18&lt;&gt;0,1,0)))</f>
        <v>0</v>
      </c>
      <c r="K18" s="162">
        <f t="shared" si="4"/>
        <v>0</v>
      </c>
      <c r="L18" s="162">
        <f t="shared" si="4"/>
        <v>0</v>
      </c>
    </row>
    <row r="19" spans="1:12" ht="12.75">
      <c r="A19" s="159" t="s">
        <v>8</v>
      </c>
      <c r="B19" s="160">
        <f t="shared" si="1"/>
        <v>6314968</v>
      </c>
      <c r="C19" s="156">
        <v>0</v>
      </c>
      <c r="D19" s="156">
        <v>6314968</v>
      </c>
      <c r="E19" s="156">
        <v>0</v>
      </c>
      <c r="F19" s="156">
        <v>0</v>
      </c>
      <c r="G19" s="156">
        <v>0</v>
      </c>
      <c r="H19" s="163"/>
      <c r="I19" s="162">
        <f>IF(B19&lt;&gt;0,((+C19+D19)/B19*100),(IF(C19&lt;&gt;0,1,0)))</f>
        <v>100</v>
      </c>
      <c r="J19" s="162">
        <f>IF($B19&lt;&gt;0,(E19/$B19*100),(IF(E19&lt;&gt;0,1,0)))</f>
        <v>0</v>
      </c>
      <c r="K19" s="162">
        <f t="shared" si="4"/>
        <v>0</v>
      </c>
      <c r="L19" s="162">
        <f t="shared" si="4"/>
        <v>0</v>
      </c>
    </row>
    <row r="20" spans="1:12" ht="12.75">
      <c r="A20" s="159" t="s">
        <v>9</v>
      </c>
      <c r="B20" s="160">
        <f t="shared" si="1"/>
        <v>4345318</v>
      </c>
      <c r="C20" s="246">
        <v>4345318</v>
      </c>
      <c r="D20" s="156">
        <v>0</v>
      </c>
      <c r="E20" s="156">
        <v>0</v>
      </c>
      <c r="F20" s="156">
        <v>0</v>
      </c>
      <c r="G20" s="156">
        <v>0</v>
      </c>
      <c r="H20" s="163"/>
      <c r="I20" s="162">
        <f t="shared" si="2"/>
        <v>100</v>
      </c>
      <c r="J20" s="162">
        <f>IF($B20&lt;&gt;0,(E20/$B20*100),(IF(E20&lt;&gt;0,1,0)))</f>
        <v>0</v>
      </c>
      <c r="K20" s="162">
        <f t="shared" si="4"/>
        <v>0</v>
      </c>
      <c r="L20" s="162">
        <f t="shared" si="4"/>
        <v>0</v>
      </c>
    </row>
    <row r="21" spans="1:12" ht="12.75">
      <c r="A21" s="159" t="s">
        <v>10</v>
      </c>
      <c r="B21" s="160">
        <f t="shared" si="1"/>
        <v>1611160.14</v>
      </c>
      <c r="C21" s="246">
        <v>1611160.14</v>
      </c>
      <c r="D21" s="156">
        <v>0</v>
      </c>
      <c r="E21" s="156">
        <v>0</v>
      </c>
      <c r="F21" s="156">
        <v>0</v>
      </c>
      <c r="G21" s="156">
        <v>0</v>
      </c>
      <c r="H21" s="163"/>
      <c r="I21" s="162">
        <f t="shared" si="2"/>
        <v>100</v>
      </c>
      <c r="J21" s="162">
        <f>IF($B21&lt;&gt;0,(E21/$B21*100),(IF(E21&lt;&gt;0,1,0)))</f>
        <v>0</v>
      </c>
      <c r="K21" s="162">
        <f t="shared" si="4"/>
        <v>0</v>
      </c>
      <c r="L21" s="162">
        <f t="shared" si="4"/>
        <v>0</v>
      </c>
    </row>
    <row r="22" spans="2:12" ht="12.75">
      <c r="B22" s="160"/>
      <c r="C22" s="246"/>
      <c r="D22" s="156"/>
      <c r="E22" s="156"/>
      <c r="F22" s="156"/>
      <c r="G22" s="156"/>
      <c r="H22" s="163"/>
      <c r="I22" s="162"/>
      <c r="J22" s="162"/>
      <c r="K22" s="162"/>
      <c r="L22" s="162"/>
    </row>
    <row r="23" spans="1:12" ht="12.75">
      <c r="A23" s="159" t="s">
        <v>11</v>
      </c>
      <c r="B23" s="160">
        <f t="shared" si="1"/>
        <v>22122507</v>
      </c>
      <c r="C23" s="246">
        <v>22122507</v>
      </c>
      <c r="D23" s="156">
        <v>0</v>
      </c>
      <c r="E23" s="156">
        <v>0</v>
      </c>
      <c r="F23" s="156">
        <v>0</v>
      </c>
      <c r="G23" s="156">
        <v>0</v>
      </c>
      <c r="H23" s="163"/>
      <c r="I23" s="162">
        <f t="shared" si="2"/>
        <v>100</v>
      </c>
      <c r="J23" s="162">
        <f>IF($B23&lt;&gt;0,(E23/$B23*100),(IF(E23&lt;&gt;0,1,0)))</f>
        <v>0</v>
      </c>
      <c r="K23" s="162">
        <f aca="true" t="shared" si="5" ref="K23:L27">IF($B23&lt;&gt;0,(F23/$B23*100),(IF(F23&lt;&gt;0,1,0)))</f>
        <v>0</v>
      </c>
      <c r="L23" s="162">
        <f t="shared" si="5"/>
        <v>0</v>
      </c>
    </row>
    <row r="24" spans="1:12" ht="12.75">
      <c r="A24" s="159" t="s">
        <v>12</v>
      </c>
      <c r="B24" s="160">
        <f t="shared" si="1"/>
        <v>244135.08</v>
      </c>
      <c r="C24" s="156">
        <v>0</v>
      </c>
      <c r="D24" s="120">
        <v>244135.08</v>
      </c>
      <c r="E24" s="156">
        <v>0</v>
      </c>
      <c r="F24" s="156">
        <v>0</v>
      </c>
      <c r="G24" s="156">
        <v>0</v>
      </c>
      <c r="H24" s="163"/>
      <c r="I24" s="162">
        <f t="shared" si="2"/>
        <v>100</v>
      </c>
      <c r="J24" s="162">
        <f>IF($B24&lt;&gt;0,(E24/$B24*100),(IF(E24&lt;&gt;0,1,0)))</f>
        <v>0</v>
      </c>
      <c r="K24" s="162">
        <f t="shared" si="5"/>
        <v>0</v>
      </c>
      <c r="L24" s="162">
        <f t="shared" si="5"/>
        <v>0</v>
      </c>
    </row>
    <row r="25" spans="1:12" ht="12.75">
      <c r="A25" s="159" t="s">
        <v>13</v>
      </c>
      <c r="B25" s="160">
        <f t="shared" si="1"/>
        <v>7891079</v>
      </c>
      <c r="C25" s="246">
        <v>7891079</v>
      </c>
      <c r="D25" s="156">
        <v>0</v>
      </c>
      <c r="E25" s="156">
        <v>0</v>
      </c>
      <c r="F25" s="156">
        <v>0</v>
      </c>
      <c r="G25" s="156">
        <v>0</v>
      </c>
      <c r="H25" s="163"/>
      <c r="I25" s="162">
        <f>IF(B25&lt;&gt;0,((+C25+D25)/B25*100),(IF(C25&lt;&gt;0,1,0)))</f>
        <v>100</v>
      </c>
      <c r="J25" s="162">
        <f>IF($B25&lt;&gt;0,(E25/$B25*100),(IF(E25&lt;&gt;0,1,0)))</f>
        <v>0</v>
      </c>
      <c r="K25" s="162">
        <f t="shared" si="5"/>
        <v>0</v>
      </c>
      <c r="L25" s="162">
        <f t="shared" si="5"/>
        <v>0</v>
      </c>
    </row>
    <row r="26" spans="1:12" ht="12.75">
      <c r="A26" s="159" t="s">
        <v>14</v>
      </c>
      <c r="B26" s="160">
        <f t="shared" si="1"/>
        <v>34346254</v>
      </c>
      <c r="C26" s="270">
        <v>34346254</v>
      </c>
      <c r="D26" s="156">
        <v>0</v>
      </c>
      <c r="E26" s="156">
        <v>0</v>
      </c>
      <c r="F26" s="156">
        <v>0</v>
      </c>
      <c r="G26" s="156">
        <v>0</v>
      </c>
      <c r="H26" s="163"/>
      <c r="I26" s="162">
        <f t="shared" si="2"/>
        <v>100</v>
      </c>
      <c r="J26" s="162">
        <f>IF($B26&lt;&gt;0,(E26/$B26*100),(IF(E26&lt;&gt;0,1,0)))</f>
        <v>0</v>
      </c>
      <c r="K26" s="162">
        <f t="shared" si="5"/>
        <v>0</v>
      </c>
      <c r="L26" s="162">
        <f t="shared" si="5"/>
        <v>0</v>
      </c>
    </row>
    <row r="27" spans="1:12" ht="12.75">
      <c r="A27" s="159" t="s">
        <v>15</v>
      </c>
      <c r="B27" s="156">
        <v>0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63"/>
      <c r="I27" s="162">
        <f t="shared" si="2"/>
        <v>0</v>
      </c>
      <c r="J27" s="162">
        <f>IF($B27&lt;&gt;0,(E27/$B27*100),(IF(E27&lt;&gt;0,1,0)))</f>
        <v>0</v>
      </c>
      <c r="K27" s="162">
        <f t="shared" si="5"/>
        <v>0</v>
      </c>
      <c r="L27" s="162">
        <f t="shared" si="5"/>
        <v>0</v>
      </c>
    </row>
    <row r="28" spans="2:12" ht="12.75">
      <c r="B28" s="160"/>
      <c r="C28" s="161"/>
      <c r="D28" s="156"/>
      <c r="E28" s="156"/>
      <c r="F28" s="156"/>
      <c r="G28" s="156"/>
      <c r="H28" s="163"/>
      <c r="I28" s="162"/>
      <c r="J28" s="162"/>
      <c r="K28" s="162"/>
      <c r="L28" s="162"/>
    </row>
    <row r="29" spans="1:12" ht="12.75">
      <c r="A29" s="159" t="s">
        <v>16</v>
      </c>
      <c r="B29" s="160">
        <f t="shared" si="1"/>
        <v>100008951</v>
      </c>
      <c r="C29" s="246">
        <v>98488412</v>
      </c>
      <c r="D29" s="226">
        <v>1520539</v>
      </c>
      <c r="E29" s="156">
        <v>0</v>
      </c>
      <c r="F29" s="156">
        <v>0</v>
      </c>
      <c r="G29" s="156">
        <v>0</v>
      </c>
      <c r="H29" s="163"/>
      <c r="I29" s="162">
        <f t="shared" si="2"/>
        <v>100</v>
      </c>
      <c r="J29" s="162">
        <f>IF($B29&lt;&gt;0,(E29/$B29*100),(IF(E29&lt;&gt;0,1,0)))</f>
        <v>0</v>
      </c>
      <c r="K29" s="162">
        <f aca="true" t="shared" si="6" ref="K29:L33">IF($B29&lt;&gt;0,(F29/$B29*100),(IF(F29&lt;&gt;0,1,0)))</f>
        <v>0</v>
      </c>
      <c r="L29" s="162">
        <f t="shared" si="6"/>
        <v>0</v>
      </c>
    </row>
    <row r="30" spans="1:12" ht="12.75">
      <c r="A30" s="159" t="s">
        <v>17</v>
      </c>
      <c r="B30" s="160">
        <f aca="true" t="shared" si="7" ref="B30:B38">SUM(C30:G30)</f>
        <v>43884858</v>
      </c>
      <c r="C30" s="246">
        <v>43884858</v>
      </c>
      <c r="D30" s="156">
        <v>0</v>
      </c>
      <c r="E30" s="156">
        <v>0</v>
      </c>
      <c r="F30" s="156">
        <v>0</v>
      </c>
      <c r="G30" s="156">
        <v>0</v>
      </c>
      <c r="H30" s="163"/>
      <c r="I30" s="162">
        <f t="shared" si="2"/>
        <v>100</v>
      </c>
      <c r="J30" s="162">
        <f>IF($B30&lt;&gt;0,(E30/$B30*100),(IF(E30&lt;&gt;0,1,0)))</f>
        <v>0</v>
      </c>
      <c r="K30" s="162">
        <f t="shared" si="6"/>
        <v>0</v>
      </c>
      <c r="L30" s="162">
        <f t="shared" si="6"/>
        <v>0</v>
      </c>
    </row>
    <row r="31" spans="1:12" ht="12.75">
      <c r="A31" s="159" t="s">
        <v>18</v>
      </c>
      <c r="B31" s="160">
        <f t="shared" si="7"/>
        <v>4774162</v>
      </c>
      <c r="C31" s="246">
        <v>4774162</v>
      </c>
      <c r="D31" s="156">
        <v>0</v>
      </c>
      <c r="E31" s="156">
        <v>0</v>
      </c>
      <c r="F31" s="156">
        <v>0</v>
      </c>
      <c r="G31" s="156">
        <v>0</v>
      </c>
      <c r="H31" s="163"/>
      <c r="I31" s="162">
        <f>IF(B31&lt;&gt;0,((+C31+D31)/B31*100),(IF(C31&lt;&gt;0,1,0)))</f>
        <v>100</v>
      </c>
      <c r="J31" s="162">
        <f>IF($B31&lt;&gt;0,(E31/$B31*100),(IF(E31&lt;&gt;0,1,0)))</f>
        <v>0</v>
      </c>
      <c r="K31" s="162">
        <f t="shared" si="6"/>
        <v>0</v>
      </c>
      <c r="L31" s="162">
        <f t="shared" si="6"/>
        <v>0</v>
      </c>
    </row>
    <row r="32" spans="1:12" ht="12.75">
      <c r="A32" s="159" t="s">
        <v>19</v>
      </c>
      <c r="B32" s="160">
        <f t="shared" si="7"/>
        <v>6562250</v>
      </c>
      <c r="C32" s="246">
        <v>6562250</v>
      </c>
      <c r="D32" s="156">
        <v>0</v>
      </c>
      <c r="E32" s="156">
        <v>0</v>
      </c>
      <c r="F32" s="156">
        <v>0</v>
      </c>
      <c r="G32" s="156">
        <v>0</v>
      </c>
      <c r="H32" s="163"/>
      <c r="I32" s="162">
        <f t="shared" si="2"/>
        <v>100</v>
      </c>
      <c r="J32" s="162">
        <f>IF($B32&lt;&gt;0,(E32/$B32*100),(IF(E32&lt;&gt;0,1,0)))</f>
        <v>0</v>
      </c>
      <c r="K32" s="162">
        <f t="shared" si="6"/>
        <v>0</v>
      </c>
      <c r="L32" s="162">
        <f t="shared" si="6"/>
        <v>0</v>
      </c>
    </row>
    <row r="33" spans="1:12" ht="12.75">
      <c r="A33" s="159" t="s">
        <v>20</v>
      </c>
      <c r="B33" s="156">
        <v>0</v>
      </c>
      <c r="C33" s="156">
        <v>0</v>
      </c>
      <c r="D33" s="156">
        <v>0</v>
      </c>
      <c r="E33" s="156">
        <v>0</v>
      </c>
      <c r="F33" s="156">
        <v>0</v>
      </c>
      <c r="G33" s="156">
        <v>0</v>
      </c>
      <c r="H33" s="163"/>
      <c r="I33" s="162">
        <f t="shared" si="2"/>
        <v>0</v>
      </c>
      <c r="J33" s="162">
        <f>IF($B33&lt;&gt;0,(E33/$B33*100),(IF(E33&lt;&gt;0,1,0)))</f>
        <v>0</v>
      </c>
      <c r="K33" s="162">
        <f t="shared" si="6"/>
        <v>0</v>
      </c>
      <c r="L33" s="162">
        <f t="shared" si="6"/>
        <v>0</v>
      </c>
    </row>
    <row r="34" spans="2:12" ht="12.75">
      <c r="B34" s="160"/>
      <c r="C34" s="161"/>
      <c r="D34" s="156"/>
      <c r="E34" s="156"/>
      <c r="F34" s="156"/>
      <c r="G34" s="156"/>
      <c r="H34" s="163"/>
      <c r="I34" s="162"/>
      <c r="J34" s="162"/>
      <c r="K34" s="162"/>
      <c r="L34" s="162"/>
    </row>
    <row r="35" spans="1:12" ht="12.75">
      <c r="A35" s="159" t="s">
        <v>21</v>
      </c>
      <c r="B35" s="160">
        <f t="shared" si="7"/>
        <v>2015740</v>
      </c>
      <c r="C35" s="246">
        <v>2015740</v>
      </c>
      <c r="D35" s="156">
        <v>0</v>
      </c>
      <c r="E35" s="156">
        <v>0</v>
      </c>
      <c r="F35" s="156">
        <v>0</v>
      </c>
      <c r="G35" s="156">
        <v>0</v>
      </c>
      <c r="H35" s="163"/>
      <c r="I35" s="162">
        <f t="shared" si="2"/>
        <v>100</v>
      </c>
      <c r="J35" s="162">
        <f>IF($B35&lt;&gt;0,(E35/$B35*100),(IF(E35&lt;&gt;0,1,0)))</f>
        <v>0</v>
      </c>
      <c r="K35" s="162">
        <f aca="true" t="shared" si="8" ref="K35:L38">IF($B35&lt;&gt;0,(F35/$B35*100),(IF(F35&lt;&gt;0,1,0)))</f>
        <v>0</v>
      </c>
      <c r="L35" s="162">
        <f t="shared" si="8"/>
        <v>0</v>
      </c>
    </row>
    <row r="36" spans="1:12" ht="12.75">
      <c r="A36" s="159" t="s">
        <v>22</v>
      </c>
      <c r="B36" s="160">
        <f>SUM(C36:G36)</f>
        <v>4775436</v>
      </c>
      <c r="C36" s="246">
        <v>4775436</v>
      </c>
      <c r="D36" s="156">
        <v>0</v>
      </c>
      <c r="E36" s="156">
        <v>0</v>
      </c>
      <c r="F36" s="156">
        <v>0</v>
      </c>
      <c r="G36" s="156">
        <v>0</v>
      </c>
      <c r="H36" s="163"/>
      <c r="I36" s="162">
        <f>IF(B36&lt;&gt;0,((+C36+G36)/B36*100),(IF(C36&lt;&gt;0,1,0)))</f>
        <v>100</v>
      </c>
      <c r="J36" s="162">
        <f>IF($B36&lt;&gt;0,(E36/$B36*100),(IF(E36&lt;&gt;0,1,0)))</f>
        <v>0</v>
      </c>
      <c r="K36" s="162">
        <f t="shared" si="8"/>
        <v>0</v>
      </c>
      <c r="L36" s="162">
        <f t="shared" si="8"/>
        <v>0</v>
      </c>
    </row>
    <row r="37" spans="1:12" ht="12.75">
      <c r="A37" s="159" t="s">
        <v>23</v>
      </c>
      <c r="B37" s="163">
        <f t="shared" si="7"/>
        <v>6845463</v>
      </c>
      <c r="C37" s="246">
        <v>6845463</v>
      </c>
      <c r="D37" s="156">
        <v>0</v>
      </c>
      <c r="E37" s="156">
        <v>0</v>
      </c>
      <c r="F37" s="156">
        <v>0</v>
      </c>
      <c r="G37" s="156">
        <v>0</v>
      </c>
      <c r="H37" s="163"/>
      <c r="I37" s="162">
        <f t="shared" si="2"/>
        <v>100</v>
      </c>
      <c r="J37" s="162">
        <f>IF($B37&lt;&gt;0,(E37/$B37*100),(IF(E37&lt;&gt;0,1,0)))</f>
        <v>0</v>
      </c>
      <c r="K37" s="162">
        <f t="shared" si="8"/>
        <v>0</v>
      </c>
      <c r="L37" s="162">
        <f t="shared" si="8"/>
        <v>0</v>
      </c>
    </row>
    <row r="38" spans="1:12" ht="12.75">
      <c r="A38" s="166" t="s">
        <v>24</v>
      </c>
      <c r="B38" s="167">
        <f t="shared" si="7"/>
        <v>3399852</v>
      </c>
      <c r="C38" s="249">
        <v>3399852</v>
      </c>
      <c r="D38" s="365">
        <v>0</v>
      </c>
      <c r="E38" s="365">
        <v>0</v>
      </c>
      <c r="F38" s="365">
        <v>0</v>
      </c>
      <c r="G38" s="365">
        <v>0</v>
      </c>
      <c r="H38" s="167"/>
      <c r="I38" s="170">
        <f t="shared" si="2"/>
        <v>100</v>
      </c>
      <c r="J38" s="170">
        <f>IF($B38&lt;&gt;0,(E38/$B38*100),(IF(E38&lt;&gt;0,1,0)))</f>
        <v>0</v>
      </c>
      <c r="K38" s="170">
        <f t="shared" si="8"/>
        <v>0</v>
      </c>
      <c r="L38" s="170">
        <f t="shared" si="8"/>
        <v>0</v>
      </c>
    </row>
    <row r="39" spans="4:12" ht="12.75">
      <c r="D39" s="163"/>
      <c r="I39" s="250"/>
      <c r="J39" s="158"/>
      <c r="K39" s="158"/>
      <c r="L39" s="158"/>
    </row>
    <row r="40" spans="1:4" ht="12.75">
      <c r="A40" s="159" t="s">
        <v>287</v>
      </c>
      <c r="D40" s="163"/>
    </row>
    <row r="41" spans="1:4" ht="12.75">
      <c r="A41" s="159" t="s">
        <v>288</v>
      </c>
      <c r="D41" s="163"/>
    </row>
    <row r="42" spans="1:4" ht="12.75">
      <c r="A42" s="245" t="s">
        <v>289</v>
      </c>
      <c r="D42" s="163"/>
    </row>
    <row r="43" ht="12.75">
      <c r="D43" s="163"/>
    </row>
  </sheetData>
  <sheetProtection password="CAF5" sheet="1" objects="1" scenarios="1"/>
  <mergeCells count="6">
    <mergeCell ref="C7:D7"/>
    <mergeCell ref="A1:K1"/>
    <mergeCell ref="A3:K3"/>
    <mergeCell ref="A4:K4"/>
    <mergeCell ref="C6:F6"/>
    <mergeCell ref="I6:L6"/>
  </mergeCells>
  <printOptions horizontalCentered="1"/>
  <pageMargins left="0.59" right="0.59" top="0.83" bottom="1" header="0.67" footer="0.5"/>
  <pageSetup fitToHeight="1" fitToWidth="1" horizontalDpi="600" verticalDpi="600" orientation="landscape" scale="10" r:id="rId1"/>
  <headerFooter alignWithMargins="0">
    <oddFooter>&amp;L&amp;"Arial,Italic"&amp;9MSDE-DBS  10 / 2008&amp;C- 5 -&amp;R&amp;"Arial,Italic"&amp;9Selected Financial Data-Part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7"/>
  <sheetViews>
    <sheetView zoomScalePageLayoutView="0" workbookViewId="0" topLeftCell="A4">
      <selection activeCell="G12" sqref="G12"/>
    </sheetView>
  </sheetViews>
  <sheetFormatPr defaultColWidth="9.140625" defaultRowHeight="12.75"/>
  <cols>
    <col min="1" max="1" width="14.140625" style="62" customWidth="1"/>
    <col min="2" max="2" width="14.421875" style="62" customWidth="1"/>
    <col min="3" max="3" width="13.421875" style="62" bestFit="1" customWidth="1"/>
    <col min="4" max="4" width="12.28125" style="62" customWidth="1"/>
    <col min="5" max="5" width="14.421875" style="62" customWidth="1"/>
    <col min="6" max="6" width="12.28125" style="62" bestFit="1" customWidth="1"/>
    <col min="7" max="7" width="14.8515625" style="62" bestFit="1" customWidth="1"/>
    <col min="8" max="8" width="13.28125" style="62" customWidth="1"/>
    <col min="9" max="9" width="12.421875" style="62" customWidth="1"/>
    <col min="10" max="10" width="0.85546875" style="62" customWidth="1"/>
    <col min="11" max="11" width="11.28125" style="304" bestFit="1" customWidth="1"/>
    <col min="12" max="12" width="1.1484375" style="62" customWidth="1"/>
    <col min="13" max="13" width="8.8515625" style="62" customWidth="1"/>
    <col min="14" max="14" width="7.8515625" style="62" customWidth="1"/>
    <col min="15" max="15" width="8.7109375" style="62" customWidth="1"/>
    <col min="16" max="16" width="8.421875" style="62" customWidth="1"/>
    <col min="18" max="18" width="11.28125" style="0" bestFit="1" customWidth="1"/>
  </cols>
  <sheetData>
    <row r="1" spans="1:16" ht="12.75">
      <c r="A1" s="422" t="s">
        <v>97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</row>
    <row r="2" spans="1:16" ht="12.7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271"/>
      <c r="L2" s="135"/>
      <c r="M2" s="135"/>
      <c r="N2" s="135"/>
      <c r="O2" s="135"/>
      <c r="P2" s="135"/>
    </row>
    <row r="3" spans="1:16" ht="12.75">
      <c r="A3" s="422" t="s">
        <v>222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6" ht="12.75">
      <c r="A4" s="423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</row>
    <row r="5" spans="1:16" ht="13.5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271"/>
      <c r="L5" s="135"/>
      <c r="M5" s="272"/>
      <c r="N5" s="272"/>
      <c r="O5" s="272"/>
      <c r="P5" s="272"/>
    </row>
    <row r="6" spans="1:42" ht="15" customHeight="1" thickTop="1">
      <c r="A6" s="273"/>
      <c r="B6" s="274"/>
      <c r="C6" s="426" t="s">
        <v>88</v>
      </c>
      <c r="D6" s="426"/>
      <c r="E6" s="426"/>
      <c r="F6" s="426"/>
      <c r="G6" s="426"/>
      <c r="H6" s="426"/>
      <c r="I6" s="426"/>
      <c r="J6" s="426"/>
      <c r="K6" s="275"/>
      <c r="L6" s="273"/>
      <c r="M6" s="424"/>
      <c r="N6" s="424"/>
      <c r="O6" s="424"/>
      <c r="P6" s="424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16" ht="12.75">
      <c r="A7" s="83" t="s">
        <v>85</v>
      </c>
      <c r="B7" s="276" t="s">
        <v>47</v>
      </c>
      <c r="C7" s="421" t="s">
        <v>85</v>
      </c>
      <c r="D7" s="421"/>
      <c r="E7" s="421"/>
      <c r="F7" s="421"/>
      <c r="G7" s="276"/>
      <c r="H7" s="421" t="s">
        <v>55</v>
      </c>
      <c r="I7" s="421"/>
      <c r="J7" s="276"/>
      <c r="K7" s="277"/>
      <c r="L7" s="276"/>
      <c r="M7" s="425" t="s">
        <v>90</v>
      </c>
      <c r="N7" s="425"/>
      <c r="O7" s="425"/>
      <c r="P7" s="425"/>
    </row>
    <row r="8" spans="1:16" ht="12.75">
      <c r="A8" s="83" t="s">
        <v>35</v>
      </c>
      <c r="B8" s="276" t="s">
        <v>91</v>
      </c>
      <c r="C8" s="276" t="s">
        <v>98</v>
      </c>
      <c r="D8" s="276" t="s">
        <v>40</v>
      </c>
      <c r="E8" s="419" t="s">
        <v>218</v>
      </c>
      <c r="F8" s="276"/>
      <c r="G8" s="276"/>
      <c r="H8" s="276" t="s">
        <v>121</v>
      </c>
      <c r="I8" s="276" t="s">
        <v>158</v>
      </c>
      <c r="J8" s="276"/>
      <c r="K8" s="276" t="s">
        <v>87</v>
      </c>
      <c r="L8" s="276"/>
      <c r="M8" s="278"/>
      <c r="N8" s="278"/>
      <c r="O8" s="278"/>
      <c r="P8" s="278" t="s">
        <v>87</v>
      </c>
    </row>
    <row r="9" spans="1:16" ht="13.5" thickBot="1">
      <c r="A9" s="279" t="s">
        <v>144</v>
      </c>
      <c r="B9" s="100" t="s">
        <v>92</v>
      </c>
      <c r="C9" s="110" t="s">
        <v>99</v>
      </c>
      <c r="D9" s="110" t="s">
        <v>100</v>
      </c>
      <c r="E9" s="420"/>
      <c r="F9" s="110" t="s">
        <v>122</v>
      </c>
      <c r="G9" s="100" t="s">
        <v>48</v>
      </c>
      <c r="H9" s="100" t="s">
        <v>99</v>
      </c>
      <c r="I9" s="100" t="s">
        <v>81</v>
      </c>
      <c r="J9" s="100"/>
      <c r="K9" s="110" t="s">
        <v>277</v>
      </c>
      <c r="L9" s="110"/>
      <c r="M9" s="280" t="s">
        <v>85</v>
      </c>
      <c r="N9" s="280" t="s">
        <v>48</v>
      </c>
      <c r="O9" s="280" t="s">
        <v>55</v>
      </c>
      <c r="P9" s="280" t="s">
        <v>89</v>
      </c>
    </row>
    <row r="10" spans="1:18" ht="12.75">
      <c r="A10" s="83" t="s">
        <v>0</v>
      </c>
      <c r="B10" s="251">
        <f aca="true" t="shared" si="0" ref="B10:I10">SUM(B12:B39)</f>
        <v>287188508.46</v>
      </c>
      <c r="C10" s="251">
        <f t="shared" si="0"/>
        <v>111538677.92999999</v>
      </c>
      <c r="D10" s="251">
        <f t="shared" si="0"/>
        <v>17847265.710000005</v>
      </c>
      <c r="E10" s="251">
        <f t="shared" si="0"/>
        <v>1802728.72</v>
      </c>
      <c r="F10" s="251">
        <f t="shared" si="0"/>
        <v>13341655.05</v>
      </c>
      <c r="G10" s="281">
        <f t="shared" si="0"/>
        <v>7203992.430000001</v>
      </c>
      <c r="H10" s="251">
        <f t="shared" si="0"/>
        <v>122644704.16000001</v>
      </c>
      <c r="I10" s="251">
        <f t="shared" si="0"/>
        <v>12361951.32</v>
      </c>
      <c r="J10" s="251"/>
      <c r="K10" s="282">
        <f>SUM(K12:K39)</f>
        <v>447533.14</v>
      </c>
      <c r="L10" s="251"/>
      <c r="M10" s="283">
        <f>SUM(C10:F10)/B10</f>
        <v>0.5032594381475065</v>
      </c>
      <c r="N10" s="283">
        <f>+G10/B10</f>
        <v>0.025084542792572714</v>
      </c>
      <c r="O10" s="283">
        <f>(+H10+I10)/B10</f>
        <v>0.4700976936854141</v>
      </c>
      <c r="P10" s="283">
        <f>+K10/B10</f>
        <v>0.001558325374506874</v>
      </c>
      <c r="R10" s="71"/>
    </row>
    <row r="11" spans="1:18" ht="12.75">
      <c r="A11" s="83"/>
      <c r="B11" s="253"/>
      <c r="C11" s="109"/>
      <c r="D11" s="109"/>
      <c r="E11" s="109"/>
      <c r="F11" s="109"/>
      <c r="G11" s="115"/>
      <c r="H11" s="253"/>
      <c r="I11" s="120"/>
      <c r="J11" s="120"/>
      <c r="K11" s="284"/>
      <c r="L11" s="109"/>
      <c r="M11" s="285"/>
      <c r="N11" s="285"/>
      <c r="O11" s="285"/>
      <c r="P11" s="285"/>
      <c r="R11" s="50"/>
    </row>
    <row r="12" spans="1:18" ht="12.75">
      <c r="A12" s="135" t="s">
        <v>1</v>
      </c>
      <c r="B12" s="246">
        <f>SUM(C12:K12)</f>
        <v>4719179.17</v>
      </c>
      <c r="C12" s="246">
        <v>1192507.02</v>
      </c>
      <c r="D12" s="246">
        <v>761656.68</v>
      </c>
      <c r="E12" s="246">
        <v>0</v>
      </c>
      <c r="F12" s="246">
        <v>0</v>
      </c>
      <c r="G12" s="115">
        <v>203919.47</v>
      </c>
      <c r="H12" s="246">
        <v>2217272.14</v>
      </c>
      <c r="I12" s="246">
        <v>305501.14</v>
      </c>
      <c r="J12" s="286"/>
      <c r="K12" s="287">
        <v>38322.72</v>
      </c>
      <c r="L12" s="288"/>
      <c r="M12" s="285">
        <f>SUM(C12:F12)/B12*100</f>
        <v>41.4089745187615</v>
      </c>
      <c r="N12" s="285">
        <f>+G12/B12*100</f>
        <v>4.32107921005254</v>
      </c>
      <c r="O12" s="285">
        <f>(+H12+I12)/B12*100</f>
        <v>53.4578830157025</v>
      </c>
      <c r="P12" s="285">
        <f>+K12/B12*100</f>
        <v>0.8120632554834744</v>
      </c>
      <c r="Q12" s="46"/>
      <c r="R12" s="70"/>
    </row>
    <row r="13" spans="1:18" ht="12.75">
      <c r="A13" s="135" t="s">
        <v>2</v>
      </c>
      <c r="B13" s="246">
        <f aca="true" t="shared" si="1" ref="B13:B39">SUM(C13:K13)</f>
        <v>19938307</v>
      </c>
      <c r="C13" s="246">
        <v>11791114</v>
      </c>
      <c r="D13" s="246">
        <v>150471</v>
      </c>
      <c r="E13" s="246">
        <v>333165</v>
      </c>
      <c r="F13" s="246">
        <v>8021</v>
      </c>
      <c r="G13" s="115">
        <v>387296</v>
      </c>
      <c r="H13" s="246">
        <v>6173457</v>
      </c>
      <c r="I13" s="246">
        <v>1094783</v>
      </c>
      <c r="J13" s="286"/>
      <c r="K13" s="289">
        <v>0</v>
      </c>
      <c r="L13" s="290"/>
      <c r="M13" s="285">
        <f aca="true" t="shared" si="2" ref="M13:M39">SUM(C13:F13)/B13*100</f>
        <v>61.6038814128</v>
      </c>
      <c r="N13" s="285">
        <f aca="true" t="shared" si="3" ref="N13:N39">+G13/B13*100</f>
        <v>1.9424718457790824</v>
      </c>
      <c r="O13" s="285">
        <f aca="true" t="shared" si="4" ref="O13:O39">(+H13+I13)/B13*100</f>
        <v>36.453646741420926</v>
      </c>
      <c r="P13" s="285">
        <f aca="true" t="shared" si="5" ref="P13:P39">+K13/B13*100</f>
        <v>0</v>
      </c>
      <c r="R13" s="70"/>
    </row>
    <row r="14" spans="1:18" ht="12.75">
      <c r="A14" s="135" t="s">
        <v>3</v>
      </c>
      <c r="B14" s="246">
        <f t="shared" si="1"/>
        <v>28240013.64</v>
      </c>
      <c r="C14" s="246">
        <v>0</v>
      </c>
      <c r="D14" s="246">
        <v>2683036.18</v>
      </c>
      <c r="E14" s="246">
        <v>0</v>
      </c>
      <c r="F14" s="291">
        <v>0</v>
      </c>
      <c r="G14" s="115">
        <v>938041.84</v>
      </c>
      <c r="H14" s="246">
        <v>24618935.62</v>
      </c>
      <c r="I14" s="246">
        <v>0</v>
      </c>
      <c r="J14" s="286"/>
      <c r="K14" s="287">
        <v>0</v>
      </c>
      <c r="L14" s="290"/>
      <c r="M14" s="285">
        <f t="shared" si="2"/>
        <v>9.500831742516114</v>
      </c>
      <c r="N14" s="285">
        <f t="shared" si="3"/>
        <v>3.3216762993036566</v>
      </c>
      <c r="O14" s="285">
        <f t="shared" si="4"/>
        <v>87.17749195818023</v>
      </c>
      <c r="P14" s="285">
        <f t="shared" si="5"/>
        <v>0</v>
      </c>
      <c r="R14" s="70"/>
    </row>
    <row r="15" spans="1:18" ht="12.75">
      <c r="A15" s="135" t="s">
        <v>4</v>
      </c>
      <c r="B15" s="246">
        <f t="shared" si="1"/>
        <v>35469384</v>
      </c>
      <c r="C15" s="246">
        <v>11271636</v>
      </c>
      <c r="D15" s="246">
        <v>6649870</v>
      </c>
      <c r="E15" s="246">
        <v>16096</v>
      </c>
      <c r="F15" s="246">
        <v>46891</v>
      </c>
      <c r="G15" s="115">
        <v>906684</v>
      </c>
      <c r="H15" s="246">
        <v>14842750</v>
      </c>
      <c r="I15" s="246">
        <v>1724790</v>
      </c>
      <c r="J15" s="286"/>
      <c r="K15" s="287">
        <v>10667</v>
      </c>
      <c r="L15" s="290"/>
      <c r="M15" s="285">
        <f t="shared" si="2"/>
        <v>50.70427216892179</v>
      </c>
      <c r="N15" s="285">
        <f t="shared" si="3"/>
        <v>2.5562439990499977</v>
      </c>
      <c r="O15" s="285">
        <f t="shared" si="4"/>
        <v>46.70941000836101</v>
      </c>
      <c r="P15" s="285">
        <f t="shared" si="5"/>
        <v>0.03007382366719422</v>
      </c>
      <c r="R15" s="70"/>
    </row>
    <row r="16" spans="1:18" ht="12.75">
      <c r="A16" s="135" t="s">
        <v>5</v>
      </c>
      <c r="B16" s="292">
        <f t="shared" si="1"/>
        <v>5670113.75</v>
      </c>
      <c r="C16" s="246">
        <v>1403136.8</v>
      </c>
      <c r="D16" s="116">
        <v>0</v>
      </c>
      <c r="E16" s="246">
        <v>61980.31</v>
      </c>
      <c r="F16" s="291">
        <v>2953391.01</v>
      </c>
      <c r="G16" s="115">
        <v>36628.19</v>
      </c>
      <c r="H16" s="246">
        <v>980491.44</v>
      </c>
      <c r="I16" s="246">
        <v>234486</v>
      </c>
      <c r="J16" s="286"/>
      <c r="K16" s="287">
        <v>0</v>
      </c>
      <c r="L16" s="290"/>
      <c r="M16" s="285">
        <f t="shared" si="2"/>
        <v>77.92626946857989</v>
      </c>
      <c r="N16" s="285">
        <f t="shared" si="3"/>
        <v>0.6459868640201443</v>
      </c>
      <c r="O16" s="285">
        <f t="shared" si="4"/>
        <v>21.42774366739997</v>
      </c>
      <c r="P16" s="285">
        <f t="shared" si="5"/>
        <v>0</v>
      </c>
      <c r="R16" s="70"/>
    </row>
    <row r="17" spans="1:18" ht="12.75">
      <c r="A17" s="135"/>
      <c r="B17" s="246"/>
      <c r="C17" s="246"/>
      <c r="D17" s="246"/>
      <c r="E17" s="246"/>
      <c r="F17" s="291"/>
      <c r="G17" s="115"/>
      <c r="H17" s="246"/>
      <c r="I17" s="246"/>
      <c r="J17" s="286"/>
      <c r="K17" s="287"/>
      <c r="L17" s="290"/>
      <c r="M17" s="285"/>
      <c r="N17" s="285"/>
      <c r="O17" s="285"/>
      <c r="P17" s="285"/>
      <c r="R17" s="44"/>
    </row>
    <row r="18" spans="1:18" ht="12.75">
      <c r="A18" s="135" t="s">
        <v>6</v>
      </c>
      <c r="B18" s="246">
        <f t="shared" si="1"/>
        <v>2178876.35</v>
      </c>
      <c r="C18" s="246">
        <v>1002631.02</v>
      </c>
      <c r="D18" s="246">
        <v>0</v>
      </c>
      <c r="E18" s="246">
        <v>3851.35</v>
      </c>
      <c r="F18" s="291">
        <v>14463.2</v>
      </c>
      <c r="G18" s="115">
        <v>77707.94</v>
      </c>
      <c r="H18" s="246">
        <v>1080222.84</v>
      </c>
      <c r="I18" s="246">
        <v>0</v>
      </c>
      <c r="J18" s="286"/>
      <c r="K18" s="287">
        <v>0</v>
      </c>
      <c r="L18" s="290"/>
      <c r="M18" s="285">
        <f t="shared" si="2"/>
        <v>46.85651712177242</v>
      </c>
      <c r="N18" s="285">
        <f t="shared" si="3"/>
        <v>3.566422665517481</v>
      </c>
      <c r="O18" s="285">
        <f t="shared" si="4"/>
        <v>49.5770602127101</v>
      </c>
      <c r="P18" s="285">
        <f t="shared" si="5"/>
        <v>0</v>
      </c>
      <c r="R18" s="70"/>
    </row>
    <row r="19" spans="1:18" ht="12.75">
      <c r="A19" s="135" t="s">
        <v>7</v>
      </c>
      <c r="B19" s="246">
        <f t="shared" si="1"/>
        <v>6525827.399999999</v>
      </c>
      <c r="C19" s="246">
        <v>4165861.8</v>
      </c>
      <c r="D19" s="246">
        <v>239526.96</v>
      </c>
      <c r="E19" s="246">
        <v>35050.29</v>
      </c>
      <c r="F19" s="293">
        <v>54215.38</v>
      </c>
      <c r="G19" s="115">
        <v>52745.08</v>
      </c>
      <c r="H19" s="246">
        <v>1463247.55</v>
      </c>
      <c r="I19" s="246">
        <v>465576.92</v>
      </c>
      <c r="J19" s="286"/>
      <c r="K19" s="287">
        <v>49603.42</v>
      </c>
      <c r="L19" s="290"/>
      <c r="M19" s="285">
        <f t="shared" si="2"/>
        <v>68.87485914812886</v>
      </c>
      <c r="N19" s="285">
        <f t="shared" si="3"/>
        <v>0.8082512265034777</v>
      </c>
      <c r="O19" s="285">
        <f t="shared" si="4"/>
        <v>29.55678034022169</v>
      </c>
      <c r="P19" s="285">
        <f t="shared" si="5"/>
        <v>0.7601092851459725</v>
      </c>
      <c r="R19" s="70"/>
    </row>
    <row r="20" spans="1:18" ht="12.75">
      <c r="A20" s="135" t="s">
        <v>8</v>
      </c>
      <c r="B20" s="246">
        <f t="shared" si="1"/>
        <v>5230066.140000001</v>
      </c>
      <c r="C20" s="246">
        <v>2736404.73</v>
      </c>
      <c r="D20" s="246">
        <v>30283.66</v>
      </c>
      <c r="E20" s="246">
        <v>55429.69</v>
      </c>
      <c r="F20" s="291">
        <v>18371.68</v>
      </c>
      <c r="G20" s="115">
        <v>226193.81</v>
      </c>
      <c r="H20" s="246">
        <v>1964065.29</v>
      </c>
      <c r="I20" s="246">
        <v>199317.28</v>
      </c>
      <c r="J20" s="286"/>
      <c r="K20" s="294">
        <v>0</v>
      </c>
      <c r="L20" s="290"/>
      <c r="M20" s="285">
        <f t="shared" si="2"/>
        <v>54.3107808575438</v>
      </c>
      <c r="N20" s="285">
        <f t="shared" si="3"/>
        <v>4.3248747519663295</v>
      </c>
      <c r="O20" s="285">
        <f t="shared" si="4"/>
        <v>41.36434439048986</v>
      </c>
      <c r="P20" s="285">
        <f t="shared" si="5"/>
        <v>0</v>
      </c>
      <c r="R20" s="70"/>
    </row>
    <row r="21" spans="1:18" ht="12.75">
      <c r="A21" s="135" t="s">
        <v>270</v>
      </c>
      <c r="B21" s="246">
        <f t="shared" si="1"/>
        <v>9552754.569999998</v>
      </c>
      <c r="C21" s="246">
        <v>5126563.83</v>
      </c>
      <c r="D21" s="246">
        <v>418318.64</v>
      </c>
      <c r="E21" s="246">
        <v>109008.34</v>
      </c>
      <c r="F21" s="291">
        <v>450918.62</v>
      </c>
      <c r="G21" s="115">
        <v>272116.14</v>
      </c>
      <c r="H21" s="246">
        <v>2695806.8</v>
      </c>
      <c r="I21" s="246">
        <v>480022.2</v>
      </c>
      <c r="J21" s="286"/>
      <c r="K21" s="295">
        <v>0</v>
      </c>
      <c r="L21" s="290"/>
      <c r="M21" s="285">
        <f t="shared" si="2"/>
        <v>63.90627316200379</v>
      </c>
      <c r="N21" s="285">
        <f t="shared" si="3"/>
        <v>2.848562035232944</v>
      </c>
      <c r="O21" s="285">
        <f t="shared" si="4"/>
        <v>33.24516480276328</v>
      </c>
      <c r="P21" s="285">
        <f t="shared" si="5"/>
        <v>0</v>
      </c>
      <c r="R21" s="70"/>
    </row>
    <row r="22" spans="1:18" ht="12.75">
      <c r="A22" s="135" t="s">
        <v>10</v>
      </c>
      <c r="B22" s="246">
        <f t="shared" si="1"/>
        <v>2089365</v>
      </c>
      <c r="C22" s="246">
        <v>756639</v>
      </c>
      <c r="D22" s="246">
        <v>0</v>
      </c>
      <c r="E22" s="246">
        <v>22936</v>
      </c>
      <c r="F22" s="291">
        <v>9287</v>
      </c>
      <c r="G22" s="115">
        <v>84192</v>
      </c>
      <c r="H22" s="246">
        <v>1127402</v>
      </c>
      <c r="I22" s="246">
        <v>88909</v>
      </c>
      <c r="J22" s="286"/>
      <c r="K22" s="296">
        <v>0</v>
      </c>
      <c r="L22" s="290"/>
      <c r="M22" s="285">
        <f t="shared" si="2"/>
        <v>37.756064641649495</v>
      </c>
      <c r="N22" s="285">
        <f t="shared" si="3"/>
        <v>4.029549647859517</v>
      </c>
      <c r="O22" s="285">
        <f t="shared" si="4"/>
        <v>58.21438571049099</v>
      </c>
      <c r="P22" s="285">
        <f t="shared" si="5"/>
        <v>0</v>
      </c>
      <c r="R22" s="70"/>
    </row>
    <row r="23" spans="1:18" ht="12.75">
      <c r="A23" s="135"/>
      <c r="B23" s="246"/>
      <c r="C23" s="246"/>
      <c r="D23" s="246"/>
      <c r="E23" s="246"/>
      <c r="F23" s="297"/>
      <c r="G23" s="115"/>
      <c r="H23" s="246"/>
      <c r="I23" s="246"/>
      <c r="J23" s="286"/>
      <c r="K23" s="296"/>
      <c r="L23" s="290"/>
      <c r="M23" s="285"/>
      <c r="N23" s="285"/>
      <c r="O23" s="285"/>
      <c r="P23" s="285"/>
      <c r="R23" s="44"/>
    </row>
    <row r="24" spans="1:18" ht="12.75">
      <c r="A24" s="135" t="s">
        <v>11</v>
      </c>
      <c r="B24" s="246">
        <f t="shared" si="1"/>
        <v>10956809</v>
      </c>
      <c r="C24" s="246">
        <v>6812679</v>
      </c>
      <c r="D24" s="246">
        <v>134705</v>
      </c>
      <c r="E24" s="246">
        <v>10279</v>
      </c>
      <c r="F24" s="291">
        <v>524889</v>
      </c>
      <c r="G24" s="115">
        <v>169720</v>
      </c>
      <c r="H24" s="246">
        <v>2870646</v>
      </c>
      <c r="I24" s="246">
        <v>433891</v>
      </c>
      <c r="J24" s="286"/>
      <c r="K24" s="296">
        <v>0</v>
      </c>
      <c r="L24" s="290"/>
      <c r="M24" s="285">
        <f t="shared" si="2"/>
        <v>68.29134285356257</v>
      </c>
      <c r="N24" s="285">
        <f t="shared" si="3"/>
        <v>1.5489911341887952</v>
      </c>
      <c r="O24" s="285">
        <f t="shared" si="4"/>
        <v>30.159666012248636</v>
      </c>
      <c r="P24" s="285">
        <f t="shared" si="5"/>
        <v>0</v>
      </c>
      <c r="R24" s="70"/>
    </row>
    <row r="25" spans="1:18" ht="12.75">
      <c r="A25" s="135" t="s">
        <v>12</v>
      </c>
      <c r="B25" s="246">
        <f t="shared" si="1"/>
        <v>2246382</v>
      </c>
      <c r="C25" s="246">
        <v>453062</v>
      </c>
      <c r="D25" s="246">
        <v>658648</v>
      </c>
      <c r="E25" s="246">
        <v>5315</v>
      </c>
      <c r="F25" s="291">
        <v>0</v>
      </c>
      <c r="G25" s="115">
        <v>109105</v>
      </c>
      <c r="H25" s="246">
        <v>892296</v>
      </c>
      <c r="I25" s="246">
        <v>119016</v>
      </c>
      <c r="J25" s="286"/>
      <c r="K25" s="287">
        <v>8940</v>
      </c>
      <c r="L25" s="290"/>
      <c r="M25" s="285">
        <f t="shared" si="2"/>
        <v>49.72551418236079</v>
      </c>
      <c r="N25" s="285">
        <f t="shared" si="3"/>
        <v>4.856921040143662</v>
      </c>
      <c r="O25" s="285">
        <f t="shared" si="4"/>
        <v>45.01959150313704</v>
      </c>
      <c r="P25" s="285">
        <f t="shared" si="5"/>
        <v>0.39797327435850177</v>
      </c>
      <c r="R25" s="70"/>
    </row>
    <row r="26" spans="1:18" ht="12.75">
      <c r="A26" s="135" t="s">
        <v>13</v>
      </c>
      <c r="B26" s="246">
        <f t="shared" si="1"/>
        <v>13659013.19</v>
      </c>
      <c r="C26" s="246">
        <v>8132053.03</v>
      </c>
      <c r="D26" s="246">
        <v>0</v>
      </c>
      <c r="E26" s="246">
        <v>155497.37</v>
      </c>
      <c r="F26" s="291">
        <v>4373</v>
      </c>
      <c r="G26" s="115">
        <v>292985.79</v>
      </c>
      <c r="H26" s="246">
        <v>4025937</v>
      </c>
      <c r="I26" s="246">
        <v>708167</v>
      </c>
      <c r="J26" s="286"/>
      <c r="K26" s="287">
        <v>340000</v>
      </c>
      <c r="L26" s="290"/>
      <c r="M26" s="285">
        <f t="shared" si="2"/>
        <v>60.706606580266445</v>
      </c>
      <c r="N26" s="285">
        <f t="shared" si="3"/>
        <v>2.144999685734984</v>
      </c>
      <c r="O26" s="285">
        <f t="shared" si="4"/>
        <v>34.659194878484485</v>
      </c>
      <c r="P26" s="285">
        <f t="shared" si="5"/>
        <v>2.4891988555141005</v>
      </c>
      <c r="R26" s="70"/>
    </row>
    <row r="27" spans="1:18" ht="12.75">
      <c r="A27" s="135" t="s">
        <v>14</v>
      </c>
      <c r="B27" s="246">
        <f t="shared" si="1"/>
        <v>13037167</v>
      </c>
      <c r="C27" s="246">
        <v>8195250</v>
      </c>
      <c r="D27" s="246">
        <v>0</v>
      </c>
      <c r="E27" s="246">
        <v>63181</v>
      </c>
      <c r="F27" s="291">
        <v>1334343</v>
      </c>
      <c r="G27" s="115">
        <v>92396</v>
      </c>
      <c r="H27" s="246">
        <v>2633779</v>
      </c>
      <c r="I27" s="246">
        <v>718218</v>
      </c>
      <c r="J27" s="286"/>
      <c r="K27" s="294">
        <v>0</v>
      </c>
      <c r="L27" s="290"/>
      <c r="M27" s="285">
        <f t="shared" si="2"/>
        <v>73.58020342916525</v>
      </c>
      <c r="N27" s="285">
        <f t="shared" si="3"/>
        <v>0.7087122532065441</v>
      </c>
      <c r="O27" s="285">
        <f t="shared" si="4"/>
        <v>25.711084317628206</v>
      </c>
      <c r="P27" s="285">
        <f t="shared" si="5"/>
        <v>0</v>
      </c>
      <c r="R27" s="70"/>
    </row>
    <row r="28" spans="1:18" ht="12.75">
      <c r="A28" s="135" t="s">
        <v>15</v>
      </c>
      <c r="B28" s="246">
        <f t="shared" si="1"/>
        <v>1095871</v>
      </c>
      <c r="C28" s="246">
        <v>481337</v>
      </c>
      <c r="D28" s="246">
        <v>12000</v>
      </c>
      <c r="E28" s="246">
        <v>0</v>
      </c>
      <c r="F28" s="246">
        <v>0</v>
      </c>
      <c r="G28" s="115">
        <v>46014</v>
      </c>
      <c r="H28" s="246">
        <v>503454</v>
      </c>
      <c r="I28" s="246">
        <v>53066</v>
      </c>
      <c r="J28" s="286"/>
      <c r="K28" s="287">
        <v>0</v>
      </c>
      <c r="L28" s="290"/>
      <c r="M28" s="285">
        <f t="shared" si="2"/>
        <v>45.0177986277582</v>
      </c>
      <c r="N28" s="285">
        <f t="shared" si="3"/>
        <v>4.198851872163786</v>
      </c>
      <c r="O28" s="285">
        <f t="shared" si="4"/>
        <v>50.783349500078025</v>
      </c>
      <c r="P28" s="285">
        <f t="shared" si="5"/>
        <v>0</v>
      </c>
      <c r="R28" s="70"/>
    </row>
    <row r="29" spans="1:18" ht="12.75">
      <c r="A29" s="135"/>
      <c r="B29" s="246"/>
      <c r="C29" s="246"/>
      <c r="D29" s="246"/>
      <c r="E29" s="246"/>
      <c r="F29" s="297"/>
      <c r="G29" s="115"/>
      <c r="H29" s="246"/>
      <c r="I29" s="246"/>
      <c r="J29" s="286"/>
      <c r="K29" s="287"/>
      <c r="L29" s="290"/>
      <c r="M29" s="285"/>
      <c r="N29" s="285"/>
      <c r="O29" s="285"/>
      <c r="P29" s="285"/>
      <c r="R29" s="44"/>
    </row>
    <row r="30" spans="1:18" ht="12.75">
      <c r="A30" s="135" t="s">
        <v>16</v>
      </c>
      <c r="B30" s="246">
        <f t="shared" si="1"/>
        <v>41710479.88999999</v>
      </c>
      <c r="C30" s="246">
        <v>22008944.57</v>
      </c>
      <c r="D30" s="246">
        <v>0</v>
      </c>
      <c r="E30" s="246">
        <v>903091.99</v>
      </c>
      <c r="F30" s="297">
        <v>0</v>
      </c>
      <c r="G30" s="115">
        <v>1017319.9</v>
      </c>
      <c r="H30" s="246">
        <v>15717692.63</v>
      </c>
      <c r="I30" s="246">
        <v>2063430.8</v>
      </c>
      <c r="J30" s="286"/>
      <c r="K30" s="287">
        <v>0</v>
      </c>
      <c r="L30" s="290"/>
      <c r="M30" s="285">
        <f t="shared" si="2"/>
        <v>54.931126710659385</v>
      </c>
      <c r="N30" s="285">
        <f t="shared" si="3"/>
        <v>2.43900310589306</v>
      </c>
      <c r="O30" s="285">
        <f t="shared" si="4"/>
        <v>42.629870183447565</v>
      </c>
      <c r="P30" s="285">
        <f t="shared" si="5"/>
        <v>0</v>
      </c>
      <c r="R30" s="70"/>
    </row>
    <row r="31" spans="1:18" ht="12.75">
      <c r="A31" s="135" t="s">
        <v>17</v>
      </c>
      <c r="B31" s="246">
        <f t="shared" si="1"/>
        <v>57478890</v>
      </c>
      <c r="C31" s="246">
        <v>17057545</v>
      </c>
      <c r="D31" s="246">
        <v>1625929</v>
      </c>
      <c r="E31" s="246">
        <v>334</v>
      </c>
      <c r="F31" s="246">
        <v>7500000</v>
      </c>
      <c r="G31" s="115">
        <v>1478651</v>
      </c>
      <c r="H31" s="246">
        <v>27161072</v>
      </c>
      <c r="I31" s="246">
        <v>2655359</v>
      </c>
      <c r="J31" s="286"/>
      <c r="K31" s="294">
        <v>0</v>
      </c>
      <c r="L31" s="290"/>
      <c r="M31" s="285">
        <f t="shared" si="2"/>
        <v>45.553781570938476</v>
      </c>
      <c r="N31" s="285">
        <f t="shared" si="3"/>
        <v>2.5725114037518817</v>
      </c>
      <c r="O31" s="285">
        <f t="shared" si="4"/>
        <v>51.873707025309635</v>
      </c>
      <c r="P31" s="285">
        <f t="shared" si="5"/>
        <v>0</v>
      </c>
      <c r="R31" s="70"/>
    </row>
    <row r="32" spans="1:18" ht="12.75">
      <c r="A32" s="135" t="s">
        <v>18</v>
      </c>
      <c r="B32" s="246">
        <f t="shared" si="1"/>
        <v>2236696.83</v>
      </c>
      <c r="C32" s="246">
        <v>822943.05</v>
      </c>
      <c r="D32" s="246">
        <v>694388.59</v>
      </c>
      <c r="E32" s="246">
        <v>1470.41</v>
      </c>
      <c r="F32" s="291">
        <v>169428.9</v>
      </c>
      <c r="G32" s="115">
        <v>18786.11</v>
      </c>
      <c r="H32" s="246">
        <v>529679.77</v>
      </c>
      <c r="I32" s="246">
        <v>0</v>
      </c>
      <c r="J32" s="286"/>
      <c r="K32" s="294">
        <v>0</v>
      </c>
      <c r="L32" s="290"/>
      <c r="M32" s="285">
        <f t="shared" si="2"/>
        <v>75.47875632300153</v>
      </c>
      <c r="N32" s="285">
        <f t="shared" si="3"/>
        <v>0.8399041724398563</v>
      </c>
      <c r="O32" s="285">
        <f t="shared" si="4"/>
        <v>23.681339504558604</v>
      </c>
      <c r="P32" s="285">
        <f t="shared" si="5"/>
        <v>0</v>
      </c>
      <c r="R32" s="70"/>
    </row>
    <row r="33" spans="1:18" ht="12.75">
      <c r="A33" s="135" t="s">
        <v>19</v>
      </c>
      <c r="B33" s="246">
        <f t="shared" si="1"/>
        <v>5494451.04</v>
      </c>
      <c r="C33" s="246">
        <v>2122168.1</v>
      </c>
      <c r="D33" s="246">
        <v>1029814.06</v>
      </c>
      <c r="E33" s="246">
        <v>19168.8</v>
      </c>
      <c r="F33" s="291">
        <v>0</v>
      </c>
      <c r="G33" s="115">
        <v>263151.03</v>
      </c>
      <c r="H33" s="246">
        <v>1799685.05</v>
      </c>
      <c r="I33" s="246">
        <v>260464</v>
      </c>
      <c r="J33" s="286"/>
      <c r="K33" s="287">
        <v>0</v>
      </c>
      <c r="L33" s="290"/>
      <c r="M33" s="285">
        <f t="shared" si="2"/>
        <v>57.71551947435316</v>
      </c>
      <c r="N33" s="285">
        <f t="shared" si="3"/>
        <v>4.789396212364831</v>
      </c>
      <c r="O33" s="285">
        <f t="shared" si="4"/>
        <v>37.49508431328201</v>
      </c>
      <c r="P33" s="285">
        <f t="shared" si="5"/>
        <v>0</v>
      </c>
      <c r="R33" s="70"/>
    </row>
    <row r="34" spans="1:18" ht="12.75">
      <c r="A34" s="135" t="s">
        <v>20</v>
      </c>
      <c r="B34" s="246">
        <f t="shared" si="1"/>
        <v>1303458.31</v>
      </c>
      <c r="C34" s="246">
        <v>0</v>
      </c>
      <c r="D34" s="246">
        <v>342492.49</v>
      </c>
      <c r="E34" s="246">
        <v>263.75</v>
      </c>
      <c r="F34" s="246">
        <v>0</v>
      </c>
      <c r="G34" s="115">
        <v>83569.92</v>
      </c>
      <c r="H34" s="246">
        <v>834718.15</v>
      </c>
      <c r="I34" s="246">
        <v>42414</v>
      </c>
      <c r="J34" s="286"/>
      <c r="K34" s="294">
        <v>0</v>
      </c>
      <c r="L34" s="290"/>
      <c r="M34" s="285">
        <f t="shared" si="2"/>
        <v>26.295911220973377</v>
      </c>
      <c r="N34" s="285">
        <f t="shared" si="3"/>
        <v>6.411399532985447</v>
      </c>
      <c r="O34" s="285">
        <f t="shared" si="4"/>
        <v>67.29268924604116</v>
      </c>
      <c r="P34" s="285">
        <f t="shared" si="5"/>
        <v>0</v>
      </c>
      <c r="R34" s="70"/>
    </row>
    <row r="35" spans="1:20" ht="12.75">
      <c r="A35" s="135"/>
      <c r="B35" s="246"/>
      <c r="C35" s="246"/>
      <c r="D35" s="246"/>
      <c r="E35" s="246"/>
      <c r="F35" s="297"/>
      <c r="G35" s="115"/>
      <c r="H35" s="246"/>
      <c r="I35" s="246"/>
      <c r="J35" s="286"/>
      <c r="K35" s="287"/>
      <c r="L35" s="290"/>
      <c r="M35" s="285"/>
      <c r="N35" s="285"/>
      <c r="O35" s="285"/>
      <c r="P35" s="285"/>
      <c r="R35" s="44"/>
      <c r="S35" s="3"/>
      <c r="T35" s="3"/>
    </row>
    <row r="36" spans="1:20" ht="12.75">
      <c r="A36" s="135" t="s">
        <v>21</v>
      </c>
      <c r="B36" s="246">
        <f t="shared" si="1"/>
        <v>1573023.48</v>
      </c>
      <c r="C36" s="246">
        <v>432628.39</v>
      </c>
      <c r="D36" s="246">
        <v>494050.05</v>
      </c>
      <c r="E36" s="246">
        <v>0</v>
      </c>
      <c r="F36" s="291">
        <v>34660.64</v>
      </c>
      <c r="G36" s="115">
        <v>79833.78</v>
      </c>
      <c r="H36" s="246">
        <v>531850.62</v>
      </c>
      <c r="I36" s="246">
        <v>0</v>
      </c>
      <c r="J36" s="286"/>
      <c r="K36" s="294">
        <v>0</v>
      </c>
      <c r="L36" s="290"/>
      <c r="M36" s="285">
        <f t="shared" si="2"/>
        <v>61.11409602099518</v>
      </c>
      <c r="N36" s="285">
        <f t="shared" si="3"/>
        <v>5.0751804416803745</v>
      </c>
      <c r="O36" s="285">
        <f t="shared" si="4"/>
        <v>33.810723537324435</v>
      </c>
      <c r="P36" s="285">
        <f t="shared" si="5"/>
        <v>0</v>
      </c>
      <c r="R36" s="70"/>
      <c r="S36" s="3"/>
      <c r="T36" s="3"/>
    </row>
    <row r="37" spans="1:20" ht="12.75">
      <c r="A37" s="135" t="s">
        <v>22</v>
      </c>
      <c r="B37" s="246">
        <f t="shared" si="1"/>
        <v>8706254</v>
      </c>
      <c r="C37" s="246">
        <v>4142460</v>
      </c>
      <c r="D37" s="246">
        <v>407338</v>
      </c>
      <c r="E37" s="246">
        <v>0</v>
      </c>
      <c r="F37" s="291"/>
      <c r="G37" s="115">
        <v>138088</v>
      </c>
      <c r="H37" s="246">
        <v>3667158</v>
      </c>
      <c r="I37" s="246">
        <v>351210</v>
      </c>
      <c r="J37" s="286"/>
      <c r="K37" s="294">
        <v>0</v>
      </c>
      <c r="L37" s="290"/>
      <c r="M37" s="285">
        <f t="shared" si="2"/>
        <v>52.258962350512626</v>
      </c>
      <c r="N37" s="285">
        <f t="shared" si="3"/>
        <v>1.5860782375519942</v>
      </c>
      <c r="O37" s="285">
        <f t="shared" si="4"/>
        <v>46.15495941193537</v>
      </c>
      <c r="P37" s="285">
        <f t="shared" si="5"/>
        <v>0</v>
      </c>
      <c r="R37" s="70"/>
      <c r="S37" s="3"/>
      <c r="T37" s="3"/>
    </row>
    <row r="38" spans="1:20" ht="12.75">
      <c r="A38" s="135" t="s">
        <v>23</v>
      </c>
      <c r="B38" s="246">
        <f t="shared" si="1"/>
        <v>5648168.9399999995</v>
      </c>
      <c r="C38" s="246">
        <v>865511.44</v>
      </c>
      <c r="D38" s="246">
        <v>1108331.21</v>
      </c>
      <c r="E38" s="246">
        <v>2468.07</v>
      </c>
      <c r="F38" s="291">
        <v>23283.7</v>
      </c>
      <c r="G38" s="115">
        <v>192953.51</v>
      </c>
      <c r="H38" s="246">
        <v>3092291.03</v>
      </c>
      <c r="I38" s="246">
        <v>363329.98</v>
      </c>
      <c r="J38" s="286"/>
      <c r="K38" s="287">
        <v>0</v>
      </c>
      <c r="L38" s="290"/>
      <c r="M38" s="285">
        <f t="shared" si="2"/>
        <v>35.40252498183952</v>
      </c>
      <c r="N38" s="285">
        <f t="shared" si="3"/>
        <v>3.4162135029905825</v>
      </c>
      <c r="O38" s="285">
        <f t="shared" si="4"/>
        <v>61.18126151516991</v>
      </c>
      <c r="P38" s="285">
        <f t="shared" si="5"/>
        <v>0</v>
      </c>
      <c r="R38" s="70"/>
      <c r="S38" s="3"/>
      <c r="T38" s="3"/>
    </row>
    <row r="39" spans="1:20" ht="12.75">
      <c r="A39" s="298" t="s">
        <v>24</v>
      </c>
      <c r="B39" s="249">
        <f t="shared" si="1"/>
        <v>2427956.76</v>
      </c>
      <c r="C39" s="249">
        <v>565602.15</v>
      </c>
      <c r="D39" s="249">
        <v>406406.19</v>
      </c>
      <c r="E39" s="249">
        <v>4142.35</v>
      </c>
      <c r="F39" s="249">
        <v>195117.92</v>
      </c>
      <c r="G39" s="217">
        <v>35893.92</v>
      </c>
      <c r="H39" s="249">
        <v>1220794.23</v>
      </c>
      <c r="I39" s="249">
        <v>0</v>
      </c>
      <c r="J39" s="299"/>
      <c r="K39" s="300">
        <v>0</v>
      </c>
      <c r="L39" s="301"/>
      <c r="M39" s="302">
        <f t="shared" si="2"/>
        <v>48.24091718997501</v>
      </c>
      <c r="N39" s="302">
        <f t="shared" si="3"/>
        <v>1.4783591121285042</v>
      </c>
      <c r="O39" s="302">
        <f t="shared" si="4"/>
        <v>50.2807236978965</v>
      </c>
      <c r="P39" s="302">
        <f t="shared" si="5"/>
        <v>0</v>
      </c>
      <c r="R39" s="70"/>
      <c r="S39" s="3"/>
      <c r="T39" s="3"/>
    </row>
    <row r="40" spans="1:20" ht="12.75">
      <c r="A40" s="83"/>
      <c r="B40" s="135"/>
      <c r="C40" s="135"/>
      <c r="D40" s="135"/>
      <c r="E40" s="135"/>
      <c r="F40" s="135"/>
      <c r="G40" s="135"/>
      <c r="H40" s="135"/>
      <c r="I40" s="135"/>
      <c r="J40" s="290"/>
      <c r="K40" s="271"/>
      <c r="L40" s="135"/>
      <c r="M40" s="272"/>
      <c r="N40" s="285"/>
      <c r="O40" s="285"/>
      <c r="P40" s="285"/>
      <c r="R40" s="3"/>
      <c r="S40" s="3"/>
      <c r="T40" s="3"/>
    </row>
    <row r="41" spans="1:256" ht="12.75">
      <c r="A41" s="83" t="s">
        <v>280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  <c r="IR41" s="83"/>
      <c r="IS41" s="83"/>
      <c r="IT41" s="83"/>
      <c r="IU41" s="83"/>
      <c r="IV41" s="83"/>
    </row>
    <row r="42" spans="1:256" ht="12.75">
      <c r="A42" s="303" t="s">
        <v>271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9:16" ht="12.75">
      <c r="I43" s="258"/>
      <c r="J43" s="258"/>
      <c r="M43" s="305"/>
      <c r="N43" s="305"/>
      <c r="O43" s="305"/>
      <c r="P43" s="305"/>
    </row>
    <row r="44" spans="9:16" ht="12.75">
      <c r="I44" s="258"/>
      <c r="J44" s="258"/>
      <c r="M44" s="305"/>
      <c r="N44" s="305"/>
      <c r="O44" s="305"/>
      <c r="P44" s="305"/>
    </row>
    <row r="45" spans="13:16" ht="12.75">
      <c r="M45" s="305"/>
      <c r="N45" s="305"/>
      <c r="O45" s="305"/>
      <c r="P45" s="305"/>
    </row>
    <row r="46" spans="13:16" ht="12.75">
      <c r="M46" s="305"/>
      <c r="N46" s="305"/>
      <c r="O46" s="305"/>
      <c r="P46" s="305"/>
    </row>
    <row r="47" spans="13:16" ht="12.75">
      <c r="M47" s="305"/>
      <c r="N47" s="305"/>
      <c r="O47" s="305"/>
      <c r="P47" s="305"/>
    </row>
    <row r="48" spans="13:16" ht="12.75">
      <c r="M48" s="305"/>
      <c r="N48" s="305"/>
      <c r="O48" s="305"/>
      <c r="P48" s="305"/>
    </row>
    <row r="49" spans="13:16" ht="12.75">
      <c r="M49" s="305"/>
      <c r="N49" s="305"/>
      <c r="O49" s="305"/>
      <c r="P49" s="305"/>
    </row>
    <row r="50" spans="13:16" ht="12.75">
      <c r="M50" s="305"/>
      <c r="N50" s="305"/>
      <c r="O50" s="305"/>
      <c r="P50" s="305"/>
    </row>
    <row r="51" spans="13:16" ht="12.75">
      <c r="M51" s="305"/>
      <c r="N51" s="305"/>
      <c r="O51" s="305"/>
      <c r="P51" s="305"/>
    </row>
    <row r="52" spans="13:16" ht="12.75">
      <c r="M52" s="305"/>
      <c r="N52" s="305"/>
      <c r="O52" s="305"/>
      <c r="P52" s="305"/>
    </row>
    <row r="53" spans="13:16" ht="12.75">
      <c r="M53" s="305"/>
      <c r="N53" s="305"/>
      <c r="O53" s="305"/>
      <c r="P53" s="305"/>
    </row>
    <row r="54" spans="13:16" ht="12.75">
      <c r="M54" s="305"/>
      <c r="N54" s="305"/>
      <c r="O54" s="305"/>
      <c r="P54" s="305"/>
    </row>
    <row r="55" spans="13:16" ht="12.75">
      <c r="M55" s="305"/>
      <c r="N55" s="305"/>
      <c r="O55" s="305"/>
      <c r="P55" s="305"/>
    </row>
    <row r="56" spans="13:16" ht="12.75">
      <c r="M56" s="305"/>
      <c r="N56" s="305"/>
      <c r="O56" s="305"/>
      <c r="P56" s="305"/>
    </row>
    <row r="57" spans="13:16" ht="12.75">
      <c r="M57" s="305"/>
      <c r="N57" s="305"/>
      <c r="O57" s="305"/>
      <c r="P57" s="305"/>
    </row>
    <row r="58" spans="13:16" ht="12.75">
      <c r="M58" s="305"/>
      <c r="N58" s="305"/>
      <c r="O58" s="305"/>
      <c r="P58" s="305"/>
    </row>
    <row r="59" spans="13:16" ht="12.75">
      <c r="M59" s="305"/>
      <c r="N59" s="305"/>
      <c r="O59" s="305"/>
      <c r="P59" s="305"/>
    </row>
    <row r="60" spans="13:16" ht="12.75">
      <c r="M60" s="305"/>
      <c r="N60" s="305"/>
      <c r="O60" s="305"/>
      <c r="P60" s="305"/>
    </row>
    <row r="61" spans="13:16" ht="12.75">
      <c r="M61" s="305"/>
      <c r="N61" s="305"/>
      <c r="O61" s="305"/>
      <c r="P61" s="305"/>
    </row>
    <row r="62" spans="13:16" ht="12.75">
      <c r="M62" s="305"/>
      <c r="N62" s="305"/>
      <c r="O62" s="305"/>
      <c r="P62" s="305"/>
    </row>
    <row r="63" spans="13:16" ht="12.75">
      <c r="M63" s="305"/>
      <c r="N63" s="305"/>
      <c r="O63" s="305"/>
      <c r="P63" s="305"/>
    </row>
    <row r="64" spans="13:16" ht="12.75">
      <c r="M64" s="305"/>
      <c r="N64" s="305"/>
      <c r="O64" s="305"/>
      <c r="P64" s="305"/>
    </row>
    <row r="65" spans="13:16" ht="12.75">
      <c r="M65" s="305"/>
      <c r="N65" s="305"/>
      <c r="O65" s="305"/>
      <c r="P65" s="305"/>
    </row>
    <row r="66" spans="13:16" ht="12.75">
      <c r="M66" s="305"/>
      <c r="N66" s="305"/>
      <c r="O66" s="305"/>
      <c r="P66" s="305"/>
    </row>
    <row r="67" spans="13:16" ht="12.75">
      <c r="M67" s="305"/>
      <c r="N67" s="305"/>
      <c r="O67" s="305"/>
      <c r="P67" s="305"/>
    </row>
    <row r="68" spans="13:16" ht="12.75">
      <c r="M68" s="305"/>
      <c r="N68" s="305"/>
      <c r="O68" s="305"/>
      <c r="P68" s="305"/>
    </row>
    <row r="69" spans="13:16" ht="12.75">
      <c r="M69" s="305"/>
      <c r="N69" s="305"/>
      <c r="O69" s="305"/>
      <c r="P69" s="305"/>
    </row>
    <row r="70" spans="13:16" ht="12.75">
      <c r="M70" s="305"/>
      <c r="N70" s="305"/>
      <c r="O70" s="305"/>
      <c r="P70" s="305"/>
    </row>
    <row r="71" spans="13:16" ht="12.75">
      <c r="M71" s="305"/>
      <c r="N71" s="305"/>
      <c r="O71" s="305"/>
      <c r="P71" s="305"/>
    </row>
    <row r="72" spans="13:16" ht="12.75">
      <c r="M72" s="305"/>
      <c r="N72" s="305"/>
      <c r="O72" s="305"/>
      <c r="P72" s="305"/>
    </row>
    <row r="73" spans="13:16" ht="12.75">
      <c r="M73" s="305"/>
      <c r="N73" s="305"/>
      <c r="O73" s="305"/>
      <c r="P73" s="305"/>
    </row>
    <row r="74" spans="13:16" ht="12.75">
      <c r="M74" s="305"/>
      <c r="N74" s="305"/>
      <c r="O74" s="305"/>
      <c r="P74" s="305"/>
    </row>
    <row r="75" spans="13:16" ht="12.75">
      <c r="M75" s="305"/>
      <c r="N75" s="305"/>
      <c r="O75" s="305"/>
      <c r="P75" s="305"/>
    </row>
    <row r="76" spans="13:16" ht="12.75">
      <c r="M76" s="305"/>
      <c r="N76" s="305"/>
      <c r="O76" s="305"/>
      <c r="P76" s="305"/>
    </row>
    <row r="77" spans="13:16" ht="12.75">
      <c r="M77" s="305"/>
      <c r="N77" s="305"/>
      <c r="O77" s="305"/>
      <c r="P77" s="305"/>
    </row>
    <row r="78" spans="13:16" ht="12.75">
      <c r="M78" s="305"/>
      <c r="N78" s="305"/>
      <c r="O78" s="305"/>
      <c r="P78" s="305"/>
    </row>
    <row r="79" spans="13:16" ht="12.75">
      <c r="M79" s="305"/>
      <c r="N79" s="305"/>
      <c r="O79" s="305"/>
      <c r="P79" s="305"/>
    </row>
    <row r="80" spans="13:16" ht="12.75">
      <c r="M80" s="305"/>
      <c r="N80" s="305"/>
      <c r="O80" s="305"/>
      <c r="P80" s="305"/>
    </row>
    <row r="81" spans="13:16" ht="12.75">
      <c r="M81" s="305"/>
      <c r="N81" s="305"/>
      <c r="O81" s="305"/>
      <c r="P81" s="305"/>
    </row>
    <row r="82" spans="13:16" ht="12.75">
      <c r="M82" s="305"/>
      <c r="N82" s="305"/>
      <c r="O82" s="305"/>
      <c r="P82" s="305"/>
    </row>
    <row r="83" spans="13:16" ht="12.75">
      <c r="M83" s="305"/>
      <c r="N83" s="305"/>
      <c r="O83" s="305"/>
      <c r="P83" s="305"/>
    </row>
    <row r="84" spans="13:16" ht="12.75">
      <c r="M84" s="305"/>
      <c r="N84" s="305"/>
      <c r="O84" s="305"/>
      <c r="P84" s="305"/>
    </row>
    <row r="85" spans="13:16" ht="12.75">
      <c r="M85" s="305"/>
      <c r="N85" s="305"/>
      <c r="O85" s="305"/>
      <c r="P85" s="305"/>
    </row>
    <row r="86" spans="13:16" ht="12.75">
      <c r="M86" s="305"/>
      <c r="N86" s="305"/>
      <c r="O86" s="305"/>
      <c r="P86" s="305"/>
    </row>
    <row r="87" spans="13:16" ht="12.75">
      <c r="M87" s="305"/>
      <c r="N87" s="305"/>
      <c r="O87" s="305"/>
      <c r="P87" s="305"/>
    </row>
    <row r="88" spans="13:16" ht="12.75">
      <c r="M88" s="305"/>
      <c r="N88" s="305"/>
      <c r="O88" s="305"/>
      <c r="P88" s="305"/>
    </row>
    <row r="89" spans="13:16" ht="12.75">
      <c r="M89" s="305"/>
      <c r="N89" s="305"/>
      <c r="O89" s="305"/>
      <c r="P89" s="305"/>
    </row>
    <row r="90" spans="13:16" ht="12.75">
      <c r="M90" s="305"/>
      <c r="N90" s="305"/>
      <c r="O90" s="305"/>
      <c r="P90" s="305"/>
    </row>
    <row r="91" spans="13:16" ht="12.75">
      <c r="M91" s="305"/>
      <c r="N91" s="305"/>
      <c r="O91" s="305"/>
      <c r="P91" s="305"/>
    </row>
    <row r="92" spans="13:16" ht="12.75">
      <c r="M92" s="305"/>
      <c r="N92" s="305"/>
      <c r="O92" s="305"/>
      <c r="P92" s="305"/>
    </row>
    <row r="93" spans="13:16" ht="12.75">
      <c r="M93" s="305"/>
      <c r="N93" s="305"/>
      <c r="O93" s="305"/>
      <c r="P93" s="305"/>
    </row>
    <row r="94" spans="13:16" ht="12.75">
      <c r="M94" s="305"/>
      <c r="N94" s="305"/>
      <c r="O94" s="305"/>
      <c r="P94" s="305"/>
    </row>
    <row r="95" spans="13:16" ht="12.75">
      <c r="M95" s="305"/>
      <c r="N95" s="305"/>
      <c r="O95" s="305"/>
      <c r="P95" s="305"/>
    </row>
    <row r="96" spans="13:16" ht="12.75">
      <c r="M96" s="305"/>
      <c r="N96" s="305"/>
      <c r="O96" s="305"/>
      <c r="P96" s="305"/>
    </row>
    <row r="97" spans="13:16" ht="12.75">
      <c r="M97" s="305"/>
      <c r="N97" s="305"/>
      <c r="O97" s="305"/>
      <c r="P97" s="305"/>
    </row>
    <row r="98" spans="13:16" ht="12.75">
      <c r="M98" s="305"/>
      <c r="N98" s="305"/>
      <c r="O98" s="305"/>
      <c r="P98" s="305"/>
    </row>
    <row r="99" spans="13:16" ht="12.75">
      <c r="M99" s="305"/>
      <c r="N99" s="305"/>
      <c r="O99" s="305"/>
      <c r="P99" s="305"/>
    </row>
    <row r="100" spans="13:16" ht="12.75">
      <c r="M100" s="305"/>
      <c r="N100" s="305"/>
      <c r="O100" s="305"/>
      <c r="P100" s="305"/>
    </row>
    <row r="101" spans="13:16" ht="12.75">
      <c r="M101" s="305"/>
      <c r="N101" s="305"/>
      <c r="O101" s="305"/>
      <c r="P101" s="305"/>
    </row>
    <row r="102" spans="13:16" ht="12.75">
      <c r="M102" s="305"/>
      <c r="N102" s="305"/>
      <c r="O102" s="305"/>
      <c r="P102" s="305"/>
    </row>
    <row r="103" spans="13:16" ht="12.75">
      <c r="M103" s="305"/>
      <c r="N103" s="305"/>
      <c r="O103" s="305"/>
      <c r="P103" s="305"/>
    </row>
    <row r="104" spans="13:16" ht="12.75">
      <c r="M104" s="305"/>
      <c r="N104" s="305"/>
      <c r="O104" s="305"/>
      <c r="P104" s="305"/>
    </row>
    <row r="105" spans="13:16" ht="12.75">
      <c r="M105" s="305"/>
      <c r="N105" s="305"/>
      <c r="O105" s="305"/>
      <c r="P105" s="305"/>
    </row>
    <row r="106" spans="13:16" ht="12.75">
      <c r="M106" s="305"/>
      <c r="N106" s="305"/>
      <c r="O106" s="305"/>
      <c r="P106" s="305"/>
    </row>
    <row r="107" spans="13:16" ht="12.75">
      <c r="M107" s="305"/>
      <c r="N107" s="305"/>
      <c r="O107" s="305"/>
      <c r="P107" s="305"/>
    </row>
    <row r="108" spans="13:16" ht="12.75">
      <c r="M108" s="305"/>
      <c r="N108" s="305"/>
      <c r="O108" s="305"/>
      <c r="P108" s="305"/>
    </row>
    <row r="109" spans="13:16" ht="12.75">
      <c r="M109" s="305"/>
      <c r="N109" s="305"/>
      <c r="O109" s="305"/>
      <c r="P109" s="305"/>
    </row>
    <row r="110" spans="13:16" ht="12.75">
      <c r="M110" s="305"/>
      <c r="N110" s="305"/>
      <c r="O110" s="305"/>
      <c r="P110" s="305"/>
    </row>
    <row r="111" spans="13:16" ht="12.75">
      <c r="M111" s="305"/>
      <c r="N111" s="305"/>
      <c r="O111" s="305"/>
      <c r="P111" s="305"/>
    </row>
    <row r="112" spans="13:16" ht="12.75">
      <c r="M112" s="305"/>
      <c r="N112" s="305"/>
      <c r="O112" s="305"/>
      <c r="P112" s="305"/>
    </row>
    <row r="113" spans="13:16" ht="12.75">
      <c r="M113" s="305"/>
      <c r="N113" s="305"/>
      <c r="O113" s="305"/>
      <c r="P113" s="305"/>
    </row>
    <row r="114" spans="13:16" ht="12.75">
      <c r="M114" s="305"/>
      <c r="N114" s="305"/>
      <c r="O114" s="305"/>
      <c r="P114" s="305"/>
    </row>
    <row r="115" spans="13:16" ht="12.75">
      <c r="M115" s="305"/>
      <c r="N115" s="305"/>
      <c r="O115" s="305"/>
      <c r="P115" s="305"/>
    </row>
    <row r="116" spans="13:16" ht="12.75">
      <c r="M116" s="305"/>
      <c r="N116" s="305"/>
      <c r="O116" s="305"/>
      <c r="P116" s="305"/>
    </row>
    <row r="117" spans="13:16" ht="12.75">
      <c r="M117" s="305"/>
      <c r="N117" s="305"/>
      <c r="O117" s="305"/>
      <c r="P117" s="305"/>
    </row>
    <row r="118" spans="13:16" ht="12.75">
      <c r="M118" s="305"/>
      <c r="N118" s="305"/>
      <c r="O118" s="305"/>
      <c r="P118" s="305"/>
    </row>
    <row r="119" spans="13:16" ht="12.75">
      <c r="M119" s="305"/>
      <c r="N119" s="305"/>
      <c r="O119" s="305"/>
      <c r="P119" s="305"/>
    </row>
    <row r="120" spans="13:16" ht="12.75">
      <c r="M120" s="305"/>
      <c r="N120" s="305"/>
      <c r="O120" s="305"/>
      <c r="P120" s="305"/>
    </row>
    <row r="121" spans="13:16" ht="12.75">
      <c r="M121" s="305"/>
      <c r="N121" s="305"/>
      <c r="O121" s="305"/>
      <c r="P121" s="305"/>
    </row>
    <row r="122" spans="13:16" ht="12.75">
      <c r="M122" s="305"/>
      <c r="N122" s="305"/>
      <c r="O122" s="305"/>
      <c r="P122" s="305"/>
    </row>
    <row r="123" spans="13:16" ht="12.75">
      <c r="M123" s="305"/>
      <c r="N123" s="305"/>
      <c r="O123" s="305"/>
      <c r="P123" s="305"/>
    </row>
    <row r="124" spans="13:16" ht="12.75">
      <c r="M124" s="305"/>
      <c r="N124" s="305"/>
      <c r="O124" s="305"/>
      <c r="P124" s="305"/>
    </row>
    <row r="125" spans="13:16" ht="12.75">
      <c r="M125" s="305"/>
      <c r="N125" s="305"/>
      <c r="O125" s="305"/>
      <c r="P125" s="305"/>
    </row>
    <row r="126" spans="13:16" ht="12.75">
      <c r="M126" s="305"/>
      <c r="N126" s="305"/>
      <c r="O126" s="305"/>
      <c r="P126" s="305"/>
    </row>
    <row r="127" spans="13:16" ht="12.75">
      <c r="M127" s="305"/>
      <c r="N127" s="305"/>
      <c r="O127" s="305"/>
      <c r="P127" s="305"/>
    </row>
    <row r="128" spans="13:16" ht="12.75">
      <c r="M128" s="305"/>
      <c r="N128" s="305"/>
      <c r="O128" s="305"/>
      <c r="P128" s="305"/>
    </row>
    <row r="129" spans="13:16" ht="12.75">
      <c r="M129" s="305"/>
      <c r="N129" s="305"/>
      <c r="O129" s="305"/>
      <c r="P129" s="305"/>
    </row>
    <row r="130" spans="13:16" ht="12.75">
      <c r="M130" s="305"/>
      <c r="N130" s="305"/>
      <c r="O130" s="305"/>
      <c r="P130" s="305"/>
    </row>
    <row r="131" spans="13:16" ht="12.75">
      <c r="M131" s="305"/>
      <c r="N131" s="305"/>
      <c r="O131" s="305"/>
      <c r="P131" s="305"/>
    </row>
    <row r="132" spans="13:16" ht="12.75">
      <c r="M132" s="305"/>
      <c r="N132" s="305"/>
      <c r="O132" s="305"/>
      <c r="P132" s="305"/>
    </row>
    <row r="133" spans="13:16" ht="12.75">
      <c r="M133" s="305"/>
      <c r="N133" s="305"/>
      <c r="O133" s="305"/>
      <c r="P133" s="305"/>
    </row>
    <row r="134" spans="13:16" ht="12.75">
      <c r="M134" s="305"/>
      <c r="N134" s="305"/>
      <c r="O134" s="305"/>
      <c r="P134" s="305"/>
    </row>
    <row r="135" spans="13:16" ht="12.75">
      <c r="M135" s="305"/>
      <c r="N135" s="305"/>
      <c r="O135" s="305"/>
      <c r="P135" s="305"/>
    </row>
    <row r="136" spans="13:16" ht="12.75">
      <c r="M136" s="305"/>
      <c r="N136" s="305"/>
      <c r="O136" s="305"/>
      <c r="P136" s="305"/>
    </row>
    <row r="137" spans="13:16" ht="12.75">
      <c r="M137" s="305"/>
      <c r="N137" s="305"/>
      <c r="O137" s="305"/>
      <c r="P137" s="305"/>
    </row>
    <row r="138" spans="13:16" ht="12.75">
      <c r="M138" s="305"/>
      <c r="N138" s="305"/>
      <c r="O138" s="305"/>
      <c r="P138" s="305"/>
    </row>
    <row r="139" spans="13:16" ht="12.75">
      <c r="M139" s="305"/>
      <c r="N139" s="305"/>
      <c r="O139" s="305"/>
      <c r="P139" s="305"/>
    </row>
    <row r="140" spans="13:16" ht="12.75">
      <c r="M140" s="305"/>
      <c r="N140" s="305"/>
      <c r="O140" s="305"/>
      <c r="P140" s="305"/>
    </row>
    <row r="141" spans="13:16" ht="12.75">
      <c r="M141" s="305"/>
      <c r="N141" s="305"/>
      <c r="O141" s="305"/>
      <c r="P141" s="305"/>
    </row>
    <row r="142" spans="13:16" ht="12.75">
      <c r="M142" s="305"/>
      <c r="N142" s="305"/>
      <c r="O142" s="305"/>
      <c r="P142" s="305"/>
    </row>
    <row r="143" spans="13:16" ht="12.75">
      <c r="M143" s="305"/>
      <c r="N143" s="305"/>
      <c r="O143" s="305"/>
      <c r="P143" s="305"/>
    </row>
    <row r="144" spans="13:16" ht="12.75">
      <c r="M144" s="305"/>
      <c r="N144" s="305"/>
      <c r="O144" s="305"/>
      <c r="P144" s="305"/>
    </row>
    <row r="145" spans="13:16" ht="12.75">
      <c r="M145" s="305"/>
      <c r="N145" s="305"/>
      <c r="O145" s="305"/>
      <c r="P145" s="305"/>
    </row>
    <row r="146" spans="13:16" ht="12.75">
      <c r="M146" s="305"/>
      <c r="N146" s="305"/>
      <c r="O146" s="305"/>
      <c r="P146" s="305"/>
    </row>
    <row r="147" spans="13:16" ht="12.75">
      <c r="M147" s="305"/>
      <c r="N147" s="305"/>
      <c r="O147" s="305"/>
      <c r="P147" s="305"/>
    </row>
    <row r="148" spans="13:16" ht="12.75">
      <c r="M148" s="305"/>
      <c r="N148" s="305"/>
      <c r="O148" s="305"/>
      <c r="P148" s="305"/>
    </row>
    <row r="149" spans="13:16" ht="12.75">
      <c r="M149" s="305"/>
      <c r="N149" s="305"/>
      <c r="O149" s="305"/>
      <c r="P149" s="305"/>
    </row>
    <row r="150" spans="13:16" ht="12.75">
      <c r="M150" s="305"/>
      <c r="N150" s="305"/>
      <c r="O150" s="305"/>
      <c r="P150" s="305"/>
    </row>
    <row r="151" spans="13:16" ht="12.75">
      <c r="M151" s="305"/>
      <c r="N151" s="305"/>
      <c r="O151" s="305"/>
      <c r="P151" s="305"/>
    </row>
    <row r="152" spans="13:16" ht="12.75">
      <c r="M152" s="305"/>
      <c r="N152" s="305"/>
      <c r="O152" s="305"/>
      <c r="P152" s="305"/>
    </row>
    <row r="153" spans="13:16" ht="12.75">
      <c r="M153" s="305"/>
      <c r="N153" s="305"/>
      <c r="O153" s="305"/>
      <c r="P153" s="305"/>
    </row>
    <row r="154" spans="13:16" ht="12.75">
      <c r="M154" s="305"/>
      <c r="N154" s="305"/>
      <c r="O154" s="305"/>
      <c r="P154" s="305"/>
    </row>
    <row r="155" spans="13:16" ht="12.75">
      <c r="M155" s="305"/>
      <c r="N155" s="305"/>
      <c r="O155" s="305"/>
      <c r="P155" s="305"/>
    </row>
    <row r="156" spans="13:16" ht="12.75">
      <c r="M156" s="305"/>
      <c r="N156" s="305"/>
      <c r="O156" s="305"/>
      <c r="P156" s="305"/>
    </row>
    <row r="157" spans="13:16" ht="12.75">
      <c r="M157" s="305"/>
      <c r="N157" s="305"/>
      <c r="O157" s="305"/>
      <c r="P157" s="305"/>
    </row>
    <row r="158" spans="13:16" ht="12.75">
      <c r="M158" s="305"/>
      <c r="N158" s="305"/>
      <c r="O158" s="305"/>
      <c r="P158" s="305"/>
    </row>
    <row r="159" spans="13:16" ht="12.75">
      <c r="M159" s="305"/>
      <c r="N159" s="305"/>
      <c r="O159" s="305"/>
      <c r="P159" s="305"/>
    </row>
    <row r="160" spans="13:16" ht="12.75">
      <c r="M160" s="305"/>
      <c r="N160" s="305"/>
      <c r="O160" s="305"/>
      <c r="P160" s="305"/>
    </row>
    <row r="161" spans="13:16" ht="12.75">
      <c r="M161" s="305"/>
      <c r="N161" s="305"/>
      <c r="O161" s="305"/>
      <c r="P161" s="305"/>
    </row>
    <row r="162" spans="13:16" ht="12.75">
      <c r="M162" s="305"/>
      <c r="N162" s="305"/>
      <c r="O162" s="305"/>
      <c r="P162" s="305"/>
    </row>
    <row r="163" spans="13:16" ht="12.75">
      <c r="M163" s="305"/>
      <c r="N163" s="305"/>
      <c r="O163" s="305"/>
      <c r="P163" s="305"/>
    </row>
    <row r="164" spans="13:16" ht="12.75">
      <c r="M164" s="305"/>
      <c r="N164" s="305"/>
      <c r="O164" s="305"/>
      <c r="P164" s="305"/>
    </row>
    <row r="165" spans="13:16" ht="12.75">
      <c r="M165" s="305"/>
      <c r="N165" s="305"/>
      <c r="O165" s="305"/>
      <c r="P165" s="305"/>
    </row>
    <row r="166" spans="13:16" ht="12.75">
      <c r="M166" s="305"/>
      <c r="N166" s="305"/>
      <c r="O166" s="305"/>
      <c r="P166" s="305"/>
    </row>
    <row r="167" spans="13:16" ht="12.75">
      <c r="M167" s="305"/>
      <c r="N167" s="305"/>
      <c r="O167" s="305"/>
      <c r="P167" s="305"/>
    </row>
    <row r="168" spans="13:16" ht="12.75">
      <c r="M168" s="305"/>
      <c r="N168" s="305"/>
      <c r="O168" s="305"/>
      <c r="P168" s="305"/>
    </row>
    <row r="169" spans="13:16" ht="12.75">
      <c r="M169" s="305"/>
      <c r="N169" s="305"/>
      <c r="O169" s="305"/>
      <c r="P169" s="305"/>
    </row>
    <row r="170" spans="13:16" ht="12.75">
      <c r="M170" s="305"/>
      <c r="N170" s="305"/>
      <c r="O170" s="305"/>
      <c r="P170" s="305"/>
    </row>
    <row r="171" spans="13:16" ht="12.75">
      <c r="M171" s="305"/>
      <c r="N171" s="305"/>
      <c r="O171" s="305"/>
      <c r="P171" s="305"/>
    </row>
    <row r="172" spans="13:16" ht="12.75">
      <c r="M172" s="305"/>
      <c r="N172" s="305"/>
      <c r="O172" s="305"/>
      <c r="P172" s="305"/>
    </row>
    <row r="173" spans="13:16" ht="12.75">
      <c r="M173" s="305"/>
      <c r="N173" s="305"/>
      <c r="O173" s="305"/>
      <c r="P173" s="305"/>
    </row>
    <row r="174" spans="13:16" ht="12.75">
      <c r="M174" s="305"/>
      <c r="N174" s="305"/>
      <c r="O174" s="305"/>
      <c r="P174" s="305"/>
    </row>
    <row r="175" spans="13:16" ht="12.75">
      <c r="M175" s="305"/>
      <c r="N175" s="305"/>
      <c r="O175" s="305"/>
      <c r="P175" s="305"/>
    </row>
    <row r="176" spans="13:16" ht="12.75">
      <c r="M176" s="305"/>
      <c r="N176" s="305"/>
      <c r="O176" s="305"/>
      <c r="P176" s="305"/>
    </row>
    <row r="177" spans="13:16" ht="12.75">
      <c r="M177" s="305"/>
      <c r="N177" s="305"/>
      <c r="O177" s="305"/>
      <c r="P177" s="305"/>
    </row>
    <row r="178" spans="13:16" ht="12.75">
      <c r="M178" s="305"/>
      <c r="N178" s="305"/>
      <c r="O178" s="305"/>
      <c r="P178" s="305"/>
    </row>
    <row r="179" spans="13:16" ht="12.75">
      <c r="M179" s="305"/>
      <c r="N179" s="305"/>
      <c r="O179" s="305"/>
      <c r="P179" s="305"/>
    </row>
    <row r="180" spans="13:16" ht="12.75">
      <c r="M180" s="305"/>
      <c r="N180" s="305"/>
      <c r="O180" s="305"/>
      <c r="P180" s="305"/>
    </row>
    <row r="181" spans="13:16" ht="12.75">
      <c r="M181" s="305"/>
      <c r="N181" s="305"/>
      <c r="O181" s="305"/>
      <c r="P181" s="305"/>
    </row>
    <row r="182" spans="13:16" ht="12.75">
      <c r="M182" s="305"/>
      <c r="N182" s="305"/>
      <c r="O182" s="305"/>
      <c r="P182" s="305"/>
    </row>
    <row r="183" spans="13:16" ht="12.75">
      <c r="M183" s="305"/>
      <c r="N183" s="305"/>
      <c r="O183" s="305"/>
      <c r="P183" s="305"/>
    </row>
    <row r="184" spans="13:16" ht="12.75">
      <c r="M184" s="305"/>
      <c r="N184" s="305"/>
      <c r="O184" s="305"/>
      <c r="P184" s="305"/>
    </row>
    <row r="185" spans="13:16" ht="12.75">
      <c r="M185" s="305"/>
      <c r="N185" s="305"/>
      <c r="O185" s="305"/>
      <c r="P185" s="305"/>
    </row>
    <row r="186" spans="13:16" ht="12.75">
      <c r="M186" s="305"/>
      <c r="N186" s="305"/>
      <c r="O186" s="305"/>
      <c r="P186" s="305"/>
    </row>
    <row r="187" spans="13:16" ht="12.75">
      <c r="M187" s="305"/>
      <c r="N187" s="305"/>
      <c r="O187" s="305"/>
      <c r="P187" s="305"/>
    </row>
    <row r="188" spans="13:16" ht="12.75">
      <c r="M188" s="305"/>
      <c r="N188" s="305"/>
      <c r="O188" s="305"/>
      <c r="P188" s="305"/>
    </row>
    <row r="189" spans="13:16" ht="12.75">
      <c r="M189" s="305"/>
      <c r="N189" s="305"/>
      <c r="O189" s="305"/>
      <c r="P189" s="305"/>
    </row>
    <row r="190" spans="13:16" ht="12.75">
      <c r="M190" s="305"/>
      <c r="N190" s="305"/>
      <c r="O190" s="305"/>
      <c r="P190" s="305"/>
    </row>
    <row r="191" spans="13:16" ht="12.75">
      <c r="M191" s="305"/>
      <c r="N191" s="305"/>
      <c r="O191" s="305"/>
      <c r="P191" s="305"/>
    </row>
    <row r="192" spans="13:16" ht="12.75">
      <c r="M192" s="305"/>
      <c r="N192" s="305"/>
      <c r="O192" s="305"/>
      <c r="P192" s="305"/>
    </row>
    <row r="193" spans="13:16" ht="12.75">
      <c r="M193" s="305"/>
      <c r="N193" s="305"/>
      <c r="O193" s="305"/>
      <c r="P193" s="305"/>
    </row>
    <row r="194" spans="13:16" ht="12.75">
      <c r="M194" s="305"/>
      <c r="N194" s="305"/>
      <c r="O194" s="305"/>
      <c r="P194" s="305"/>
    </row>
    <row r="195" spans="13:16" ht="12.75">
      <c r="M195" s="305"/>
      <c r="N195" s="305"/>
      <c r="O195" s="305"/>
      <c r="P195" s="305"/>
    </row>
    <row r="196" spans="13:16" ht="12.75">
      <c r="M196" s="305"/>
      <c r="N196" s="305"/>
      <c r="O196" s="305"/>
      <c r="P196" s="305"/>
    </row>
    <row r="197" spans="13:16" ht="12.75">
      <c r="M197" s="305"/>
      <c r="N197" s="305"/>
      <c r="O197" s="305"/>
      <c r="P197" s="305"/>
    </row>
    <row r="198" spans="13:16" ht="12.75">
      <c r="M198" s="305"/>
      <c r="N198" s="305"/>
      <c r="O198" s="305"/>
      <c r="P198" s="305"/>
    </row>
    <row r="199" spans="13:16" ht="12.75">
      <c r="M199" s="305"/>
      <c r="N199" s="305"/>
      <c r="O199" s="305"/>
      <c r="P199" s="305"/>
    </row>
    <row r="200" spans="13:16" ht="12.75">
      <c r="M200" s="305"/>
      <c r="N200" s="305"/>
      <c r="O200" s="305"/>
      <c r="P200" s="305"/>
    </row>
    <row r="201" spans="13:16" ht="12.75">
      <c r="M201" s="305"/>
      <c r="N201" s="305"/>
      <c r="O201" s="305"/>
      <c r="P201" s="305"/>
    </row>
    <row r="202" spans="13:16" ht="12.75">
      <c r="M202" s="305"/>
      <c r="N202" s="305"/>
      <c r="O202" s="305"/>
      <c r="P202" s="305"/>
    </row>
    <row r="203" spans="13:16" ht="12.75">
      <c r="M203" s="305"/>
      <c r="N203" s="305"/>
      <c r="O203" s="305"/>
      <c r="P203" s="305"/>
    </row>
    <row r="204" spans="13:16" ht="12.75">
      <c r="M204" s="305"/>
      <c r="N204" s="305"/>
      <c r="O204" s="305"/>
      <c r="P204" s="305"/>
    </row>
    <row r="205" spans="13:16" ht="12.75">
      <c r="M205" s="305"/>
      <c r="N205" s="305"/>
      <c r="O205" s="305"/>
      <c r="P205" s="305"/>
    </row>
    <row r="206" spans="13:16" ht="12.75">
      <c r="M206" s="305"/>
      <c r="N206" s="305"/>
      <c r="O206" s="305"/>
      <c r="P206" s="305"/>
    </row>
    <row r="207" spans="13:16" ht="12.75">
      <c r="M207" s="305"/>
      <c r="N207" s="305"/>
      <c r="O207" s="305"/>
      <c r="P207" s="305"/>
    </row>
    <row r="208" spans="13:16" ht="12.75">
      <c r="M208" s="305"/>
      <c r="N208" s="305"/>
      <c r="O208" s="305"/>
      <c r="P208" s="305"/>
    </row>
    <row r="209" spans="13:16" ht="12.75">
      <c r="M209" s="305"/>
      <c r="N209" s="305"/>
      <c r="O209" s="305"/>
      <c r="P209" s="305"/>
    </row>
    <row r="210" spans="13:16" ht="12.75">
      <c r="M210" s="305"/>
      <c r="N210" s="305"/>
      <c r="O210" s="305"/>
      <c r="P210" s="305"/>
    </row>
    <row r="211" spans="13:16" ht="12.75">
      <c r="M211" s="305"/>
      <c r="N211" s="305"/>
      <c r="O211" s="305"/>
      <c r="P211" s="305"/>
    </row>
    <row r="212" spans="13:16" ht="12.75">
      <c r="M212" s="305"/>
      <c r="N212" s="305"/>
      <c r="O212" s="305"/>
      <c r="P212" s="305"/>
    </row>
    <row r="213" spans="13:16" ht="12.75">
      <c r="M213" s="305"/>
      <c r="N213" s="305"/>
      <c r="O213" s="305"/>
      <c r="P213" s="305"/>
    </row>
    <row r="214" spans="13:16" ht="12.75">
      <c r="M214" s="305"/>
      <c r="N214" s="305"/>
      <c r="O214" s="305"/>
      <c r="P214" s="305"/>
    </row>
    <row r="215" spans="13:16" ht="12.75">
      <c r="M215" s="305"/>
      <c r="N215" s="305"/>
      <c r="O215" s="305"/>
      <c r="P215" s="305"/>
    </row>
    <row r="216" spans="13:16" ht="12.75">
      <c r="M216" s="305"/>
      <c r="N216" s="305"/>
      <c r="O216" s="305"/>
      <c r="P216" s="305"/>
    </row>
    <row r="217" spans="13:16" ht="12.75">
      <c r="M217" s="305"/>
      <c r="N217" s="305"/>
      <c r="O217" s="305"/>
      <c r="P217" s="305"/>
    </row>
    <row r="218" spans="13:16" ht="12.75">
      <c r="M218" s="305"/>
      <c r="N218" s="305"/>
      <c r="O218" s="305"/>
      <c r="P218" s="305"/>
    </row>
    <row r="219" spans="13:16" ht="12.75">
      <c r="M219" s="305"/>
      <c r="N219" s="305"/>
      <c r="O219" s="305"/>
      <c r="P219" s="305"/>
    </row>
    <row r="220" spans="13:16" ht="12.75">
      <c r="M220" s="305"/>
      <c r="N220" s="305"/>
      <c r="O220" s="305"/>
      <c r="P220" s="305"/>
    </row>
    <row r="221" spans="13:16" ht="12.75">
      <c r="M221" s="305"/>
      <c r="N221" s="305"/>
      <c r="O221" s="305"/>
      <c r="P221" s="305"/>
    </row>
    <row r="222" spans="13:16" ht="12.75">
      <c r="M222" s="305"/>
      <c r="N222" s="305"/>
      <c r="O222" s="305"/>
      <c r="P222" s="305"/>
    </row>
    <row r="223" spans="13:16" ht="12.75">
      <c r="M223" s="305"/>
      <c r="N223" s="305"/>
      <c r="O223" s="305"/>
      <c r="P223" s="305"/>
    </row>
    <row r="224" spans="13:16" ht="12.75">
      <c r="M224" s="305"/>
      <c r="N224" s="305"/>
      <c r="O224" s="305"/>
      <c r="P224" s="305"/>
    </row>
    <row r="225" spans="13:16" ht="12.75">
      <c r="M225" s="305"/>
      <c r="N225" s="305"/>
      <c r="O225" s="305"/>
      <c r="P225" s="305"/>
    </row>
    <row r="226" spans="13:16" ht="12.75">
      <c r="M226" s="305"/>
      <c r="N226" s="305"/>
      <c r="O226" s="305"/>
      <c r="P226" s="305"/>
    </row>
    <row r="227" spans="13:16" ht="12.75">
      <c r="M227" s="305"/>
      <c r="N227" s="305"/>
      <c r="O227" s="305"/>
      <c r="P227" s="305"/>
    </row>
    <row r="228" spans="13:16" ht="12.75">
      <c r="M228" s="305"/>
      <c r="N228" s="305"/>
      <c r="O228" s="305"/>
      <c r="P228" s="305"/>
    </row>
    <row r="229" spans="13:16" ht="12.75">
      <c r="M229" s="305"/>
      <c r="N229" s="305"/>
      <c r="O229" s="305"/>
      <c r="P229" s="305"/>
    </row>
    <row r="230" spans="13:16" ht="12.75">
      <c r="M230" s="305"/>
      <c r="N230" s="305"/>
      <c r="O230" s="305"/>
      <c r="P230" s="305"/>
    </row>
    <row r="231" spans="13:16" ht="12.75">
      <c r="M231" s="305"/>
      <c r="N231" s="305"/>
      <c r="O231" s="305"/>
      <c r="P231" s="305"/>
    </row>
    <row r="232" spans="13:16" ht="12.75">
      <c r="M232" s="305"/>
      <c r="N232" s="305"/>
      <c r="O232" s="305"/>
      <c r="P232" s="305"/>
    </row>
    <row r="233" spans="13:16" ht="12.75">
      <c r="M233" s="305"/>
      <c r="N233" s="305"/>
      <c r="O233" s="305"/>
      <c r="P233" s="305"/>
    </row>
    <row r="234" spans="13:16" ht="12.75">
      <c r="M234" s="305"/>
      <c r="N234" s="305"/>
      <c r="O234" s="305"/>
      <c r="P234" s="305"/>
    </row>
    <row r="235" spans="13:16" ht="12.75">
      <c r="M235" s="305"/>
      <c r="N235" s="305"/>
      <c r="O235" s="305"/>
      <c r="P235" s="305"/>
    </row>
    <row r="236" spans="13:16" ht="12.75">
      <c r="M236" s="305"/>
      <c r="N236" s="305"/>
      <c r="O236" s="305"/>
      <c r="P236" s="305"/>
    </row>
    <row r="237" spans="13:16" ht="12.75">
      <c r="M237" s="305"/>
      <c r="N237" s="305"/>
      <c r="O237" s="305"/>
      <c r="P237" s="305"/>
    </row>
    <row r="238" spans="13:16" ht="12.75">
      <c r="M238" s="305"/>
      <c r="N238" s="305"/>
      <c r="O238" s="305"/>
      <c r="P238" s="305"/>
    </row>
    <row r="239" spans="13:16" ht="12.75">
      <c r="M239" s="305"/>
      <c r="N239" s="305"/>
      <c r="O239" s="305"/>
      <c r="P239" s="305"/>
    </row>
    <row r="240" spans="13:16" ht="12.75">
      <c r="M240" s="305"/>
      <c r="N240" s="305"/>
      <c r="O240" s="305"/>
      <c r="P240" s="305"/>
    </row>
    <row r="241" spans="13:16" ht="12.75">
      <c r="M241" s="305"/>
      <c r="N241" s="305"/>
      <c r="O241" s="305"/>
      <c r="P241" s="305"/>
    </row>
    <row r="242" spans="13:16" ht="12.75">
      <c r="M242" s="305"/>
      <c r="N242" s="305"/>
      <c r="O242" s="305"/>
      <c r="P242" s="305"/>
    </row>
    <row r="243" spans="13:16" ht="12.75">
      <c r="M243" s="305"/>
      <c r="N243" s="305"/>
      <c r="O243" s="305"/>
      <c r="P243" s="305"/>
    </row>
    <row r="244" spans="13:16" ht="12.75">
      <c r="M244" s="305"/>
      <c r="N244" s="305"/>
      <c r="O244" s="305"/>
      <c r="P244" s="305"/>
    </row>
    <row r="245" spans="13:16" ht="12.75">
      <c r="M245" s="305"/>
      <c r="N245" s="305"/>
      <c r="O245" s="305"/>
      <c r="P245" s="305"/>
    </row>
    <row r="246" spans="13:16" ht="12.75">
      <c r="M246" s="305"/>
      <c r="N246" s="305"/>
      <c r="O246" s="305"/>
      <c r="P246" s="305"/>
    </row>
    <row r="247" spans="13:16" ht="12.75">
      <c r="M247" s="305"/>
      <c r="N247" s="305"/>
      <c r="O247" s="305"/>
      <c r="P247" s="305"/>
    </row>
    <row r="248" spans="13:16" ht="12.75">
      <c r="M248" s="305"/>
      <c r="N248" s="305"/>
      <c r="O248" s="305"/>
      <c r="P248" s="305"/>
    </row>
    <row r="249" spans="13:16" ht="12.75">
      <c r="M249" s="305"/>
      <c r="N249" s="305"/>
      <c r="O249" s="305"/>
      <c r="P249" s="305"/>
    </row>
    <row r="250" spans="13:16" ht="12.75">
      <c r="M250" s="305"/>
      <c r="N250" s="305"/>
      <c r="O250" s="305"/>
      <c r="P250" s="305"/>
    </row>
    <row r="251" spans="13:16" ht="12.75">
      <c r="M251" s="305"/>
      <c r="N251" s="305"/>
      <c r="O251" s="305"/>
      <c r="P251" s="305"/>
    </row>
    <row r="252" spans="13:16" ht="12.75">
      <c r="M252" s="305"/>
      <c r="N252" s="305"/>
      <c r="O252" s="305"/>
      <c r="P252" s="305"/>
    </row>
    <row r="253" spans="13:16" ht="12.75">
      <c r="M253" s="305"/>
      <c r="N253" s="305"/>
      <c r="O253" s="305"/>
      <c r="P253" s="305"/>
    </row>
    <row r="254" spans="13:16" ht="12.75">
      <c r="M254" s="305"/>
      <c r="N254" s="305"/>
      <c r="O254" s="305"/>
      <c r="P254" s="305"/>
    </row>
    <row r="255" spans="13:16" ht="12.75">
      <c r="M255" s="305"/>
      <c r="N255" s="305"/>
      <c r="O255" s="305"/>
      <c r="P255" s="305"/>
    </row>
    <row r="256" spans="13:16" ht="12.75">
      <c r="M256" s="305"/>
      <c r="N256" s="305"/>
      <c r="O256" s="305"/>
      <c r="P256" s="305"/>
    </row>
    <row r="257" spans="13:16" ht="12.75">
      <c r="M257" s="305"/>
      <c r="N257" s="305"/>
      <c r="O257" s="305"/>
      <c r="P257" s="305"/>
    </row>
    <row r="258" spans="13:16" ht="12.75">
      <c r="M258" s="305"/>
      <c r="N258" s="305"/>
      <c r="O258" s="305"/>
      <c r="P258" s="305"/>
    </row>
    <row r="259" spans="13:16" ht="12.75">
      <c r="M259" s="305"/>
      <c r="N259" s="305"/>
      <c r="O259" s="305"/>
      <c r="P259" s="305"/>
    </row>
    <row r="260" spans="13:16" ht="12.75">
      <c r="M260" s="305"/>
      <c r="N260" s="305"/>
      <c r="O260" s="305"/>
      <c r="P260" s="305"/>
    </row>
    <row r="261" spans="13:16" ht="12.75">
      <c r="M261" s="305"/>
      <c r="N261" s="305"/>
      <c r="O261" s="305"/>
      <c r="P261" s="305"/>
    </row>
    <row r="262" spans="13:16" ht="12.75">
      <c r="M262" s="305"/>
      <c r="N262" s="305"/>
      <c r="O262" s="305"/>
      <c r="P262" s="305"/>
    </row>
    <row r="263" spans="13:16" ht="12.75">
      <c r="M263" s="305"/>
      <c r="N263" s="305"/>
      <c r="O263" s="305"/>
      <c r="P263" s="305"/>
    </row>
    <row r="264" spans="13:16" ht="12.75">
      <c r="M264" s="305"/>
      <c r="N264" s="305"/>
      <c r="O264" s="305"/>
      <c r="P264" s="305"/>
    </row>
    <row r="265" spans="13:16" ht="12.75">
      <c r="M265" s="305"/>
      <c r="N265" s="305"/>
      <c r="O265" s="305"/>
      <c r="P265" s="305"/>
    </row>
    <row r="266" spans="13:16" ht="12.75">
      <c r="M266" s="305"/>
      <c r="N266" s="305"/>
      <c r="O266" s="305"/>
      <c r="P266" s="305"/>
    </row>
    <row r="267" spans="13:16" ht="12.75">
      <c r="M267" s="305"/>
      <c r="N267" s="305"/>
      <c r="O267" s="305"/>
      <c r="P267" s="305"/>
    </row>
    <row r="268" spans="13:16" ht="12.75">
      <c r="M268" s="305"/>
      <c r="N268" s="305"/>
      <c r="O268" s="305"/>
      <c r="P268" s="305"/>
    </row>
    <row r="269" spans="13:16" ht="12.75">
      <c r="M269" s="305"/>
      <c r="N269" s="305"/>
      <c r="O269" s="305"/>
      <c r="P269" s="305"/>
    </row>
    <row r="270" spans="13:16" ht="12.75">
      <c r="M270" s="305"/>
      <c r="N270" s="305"/>
      <c r="O270" s="305"/>
      <c r="P270" s="305"/>
    </row>
    <row r="271" spans="13:16" ht="12.75">
      <c r="M271" s="305"/>
      <c r="N271" s="305"/>
      <c r="O271" s="305"/>
      <c r="P271" s="305"/>
    </row>
    <row r="272" spans="13:16" ht="12.75">
      <c r="M272" s="305"/>
      <c r="N272" s="305"/>
      <c r="O272" s="305"/>
      <c r="P272" s="305"/>
    </row>
    <row r="273" spans="13:16" ht="12.75">
      <c r="M273" s="305"/>
      <c r="N273" s="305"/>
      <c r="O273" s="305"/>
      <c r="P273" s="305"/>
    </row>
    <row r="274" spans="13:16" ht="12.75">
      <c r="M274" s="305"/>
      <c r="N274" s="305"/>
      <c r="O274" s="305"/>
      <c r="P274" s="305"/>
    </row>
    <row r="275" spans="13:16" ht="12.75">
      <c r="M275" s="305"/>
      <c r="N275" s="305"/>
      <c r="O275" s="305"/>
      <c r="P275" s="305"/>
    </row>
    <row r="276" spans="13:16" ht="12.75">
      <c r="M276" s="305"/>
      <c r="N276" s="305"/>
      <c r="O276" s="305"/>
      <c r="P276" s="305"/>
    </row>
    <row r="277" spans="13:16" ht="12.75">
      <c r="M277" s="305"/>
      <c r="N277" s="305"/>
      <c r="O277" s="305"/>
      <c r="P277" s="305"/>
    </row>
    <row r="278" spans="13:16" ht="12.75">
      <c r="M278" s="305"/>
      <c r="N278" s="305"/>
      <c r="O278" s="305"/>
      <c r="P278" s="305"/>
    </row>
    <row r="279" spans="13:16" ht="12.75">
      <c r="M279" s="305"/>
      <c r="N279" s="305"/>
      <c r="O279" s="305"/>
      <c r="P279" s="305"/>
    </row>
    <row r="280" spans="13:16" ht="12.75">
      <c r="M280" s="305"/>
      <c r="N280" s="305"/>
      <c r="O280" s="305"/>
      <c r="P280" s="305"/>
    </row>
    <row r="281" spans="13:16" ht="12.75">
      <c r="M281" s="305"/>
      <c r="N281" s="305"/>
      <c r="O281" s="305"/>
      <c r="P281" s="305"/>
    </row>
    <row r="282" spans="13:16" ht="12.75">
      <c r="M282" s="305"/>
      <c r="N282" s="305"/>
      <c r="O282" s="305"/>
      <c r="P282" s="305"/>
    </row>
    <row r="283" spans="13:16" ht="12.75">
      <c r="M283" s="305"/>
      <c r="N283" s="305"/>
      <c r="O283" s="305"/>
      <c r="P283" s="305"/>
    </row>
    <row r="284" spans="13:16" ht="12.75">
      <c r="M284" s="305"/>
      <c r="N284" s="305"/>
      <c r="O284" s="305"/>
      <c r="P284" s="305"/>
    </row>
    <row r="285" spans="13:16" ht="12.75">
      <c r="M285" s="305"/>
      <c r="N285" s="305"/>
      <c r="O285" s="305"/>
      <c r="P285" s="305"/>
    </row>
    <row r="286" spans="13:16" ht="12.75">
      <c r="M286" s="305"/>
      <c r="N286" s="305"/>
      <c r="O286" s="305"/>
      <c r="P286" s="305"/>
    </row>
    <row r="287" spans="13:16" ht="12.75">
      <c r="M287" s="305"/>
      <c r="N287" s="305"/>
      <c r="O287" s="305"/>
      <c r="P287" s="305"/>
    </row>
    <row r="288" spans="13:16" ht="12.75">
      <c r="M288" s="305"/>
      <c r="N288" s="305"/>
      <c r="O288" s="305"/>
      <c r="P288" s="305"/>
    </row>
    <row r="289" spans="13:16" ht="12.75">
      <c r="M289" s="305"/>
      <c r="N289" s="305"/>
      <c r="O289" s="305"/>
      <c r="P289" s="305"/>
    </row>
    <row r="290" spans="13:16" ht="12.75">
      <c r="M290" s="305"/>
      <c r="N290" s="305"/>
      <c r="O290" s="305"/>
      <c r="P290" s="305"/>
    </row>
    <row r="291" spans="13:16" ht="12.75">
      <c r="M291" s="305"/>
      <c r="N291" s="305"/>
      <c r="O291" s="305"/>
      <c r="P291" s="305"/>
    </row>
    <row r="292" spans="13:16" ht="12.75">
      <c r="M292" s="305"/>
      <c r="N292" s="305"/>
      <c r="O292" s="305"/>
      <c r="P292" s="305"/>
    </row>
    <row r="293" spans="13:16" ht="12.75">
      <c r="M293" s="305"/>
      <c r="N293" s="305"/>
      <c r="O293" s="305"/>
      <c r="P293" s="305"/>
    </row>
    <row r="294" spans="13:16" ht="12.75">
      <c r="M294" s="305"/>
      <c r="N294" s="305"/>
      <c r="O294" s="305"/>
      <c r="P294" s="305"/>
    </row>
    <row r="295" spans="13:16" ht="12.75">
      <c r="M295" s="305"/>
      <c r="N295" s="305"/>
      <c r="O295" s="305"/>
      <c r="P295" s="305"/>
    </row>
    <row r="296" spans="13:16" ht="12.75">
      <c r="M296" s="305"/>
      <c r="N296" s="305"/>
      <c r="O296" s="305"/>
      <c r="P296" s="305"/>
    </row>
    <row r="297" spans="13:16" ht="12.75">
      <c r="M297" s="305"/>
      <c r="N297" s="305"/>
      <c r="O297" s="305"/>
      <c r="P297" s="305"/>
    </row>
  </sheetData>
  <sheetProtection password="CAF5" sheet="1" objects="1" scenarios="1"/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rintOptions horizontalCentered="1"/>
  <pageMargins left="0.47" right="0.59" top="0.83" bottom="1" header="0.67" footer="0.5"/>
  <pageSetup fitToHeight="1" fitToWidth="1" horizontalDpi="600" verticalDpi="600" orientation="landscape" scale="75" r:id="rId1"/>
  <headerFooter alignWithMargins="0">
    <oddFooter>&amp;L&amp;"Arial,Italic"&amp;9MSDE-DBS  10 / 2008&amp;C- 6 -&amp;R&amp;"Arial,Italic"&amp;9Selected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21">
      <selection activeCell="B17" sqref="B17"/>
    </sheetView>
  </sheetViews>
  <sheetFormatPr defaultColWidth="9.140625" defaultRowHeight="12.75"/>
  <cols>
    <col min="1" max="1" width="14.421875" style="206" customWidth="1"/>
    <col min="2" max="2" width="18.8515625" style="124" customWidth="1"/>
    <col min="3" max="3" width="19.421875" style="309" customWidth="1"/>
    <col min="4" max="4" width="17.421875" style="124" customWidth="1"/>
    <col min="5" max="5" width="14.28125" style="309" customWidth="1"/>
    <col min="6" max="6" width="1.421875" style="124" customWidth="1"/>
    <col min="7" max="7" width="14.8515625" style="124" customWidth="1"/>
    <col min="8" max="8" width="16.28125" style="124" customWidth="1"/>
    <col min="9" max="9" width="11.28125" style="124" bestFit="1" customWidth="1"/>
  </cols>
  <sheetData>
    <row r="1" spans="1:9" ht="12.75">
      <c r="A1" s="405" t="s">
        <v>46</v>
      </c>
      <c r="B1" s="405"/>
      <c r="C1" s="405"/>
      <c r="D1" s="405"/>
      <c r="E1" s="405"/>
      <c r="F1" s="405"/>
      <c r="G1" s="405"/>
      <c r="H1" s="405"/>
      <c r="I1" s="236"/>
    </row>
    <row r="2" spans="1:2" ht="12.75">
      <c r="A2" s="24"/>
      <c r="B2" s="197"/>
    </row>
    <row r="3" spans="1:9" ht="12.75">
      <c r="A3" s="427" t="s">
        <v>223</v>
      </c>
      <c r="B3" s="427"/>
      <c r="C3" s="427"/>
      <c r="D3" s="427"/>
      <c r="E3" s="427"/>
      <c r="F3" s="427"/>
      <c r="G3" s="427"/>
      <c r="H3" s="427"/>
      <c r="I3" s="238"/>
    </row>
    <row r="4" spans="1:9" ht="13.5" thickBot="1">
      <c r="A4" s="24"/>
      <c r="D4" s="260"/>
      <c r="E4" s="310"/>
      <c r="F4" s="260"/>
      <c r="G4" s="260"/>
      <c r="H4" s="260"/>
      <c r="I4" s="261"/>
    </row>
    <row r="5" spans="1:9" ht="15" customHeight="1" thickTop="1">
      <c r="A5" s="174"/>
      <c r="B5" s="198"/>
      <c r="C5" s="311"/>
      <c r="D5" s="428" t="s">
        <v>50</v>
      </c>
      <c r="E5" s="428"/>
      <c r="F5" s="428"/>
      <c r="G5" s="428"/>
      <c r="H5" s="428"/>
      <c r="I5" s="200"/>
    </row>
    <row r="6" spans="1:9" ht="12.75">
      <c r="A6" s="33"/>
      <c r="B6" s="199"/>
      <c r="C6" s="312" t="s">
        <v>47</v>
      </c>
      <c r="D6" s="429" t="s">
        <v>195</v>
      </c>
      <c r="E6" s="429"/>
      <c r="F6" s="314"/>
      <c r="G6" s="400" t="s">
        <v>278</v>
      </c>
      <c r="H6" s="430" t="s">
        <v>181</v>
      </c>
      <c r="I6" s="333"/>
    </row>
    <row r="7" spans="1:9" ht="12.75">
      <c r="A7" s="33" t="s">
        <v>85</v>
      </c>
      <c r="B7" s="200" t="s">
        <v>47</v>
      </c>
      <c r="C7" s="312" t="s">
        <v>53</v>
      </c>
      <c r="E7" s="315" t="s">
        <v>225</v>
      </c>
      <c r="F7" s="200"/>
      <c r="G7" s="401"/>
      <c r="H7" s="431"/>
      <c r="I7" s="237"/>
    </row>
    <row r="8" spans="1:9" ht="12.75" customHeight="1">
      <c r="A8" s="33" t="s">
        <v>35</v>
      </c>
      <c r="B8" s="201" t="s">
        <v>48</v>
      </c>
      <c r="C8" s="312" t="s">
        <v>54</v>
      </c>
      <c r="D8" s="200"/>
      <c r="E8" s="315" t="s">
        <v>226</v>
      </c>
      <c r="F8" s="200"/>
      <c r="G8" s="401"/>
      <c r="H8" s="431"/>
      <c r="I8" s="237"/>
    </row>
    <row r="9" spans="1:9" ht="13.5" thickBot="1">
      <c r="A9" s="58" t="s">
        <v>144</v>
      </c>
      <c r="B9" s="202" t="s">
        <v>49</v>
      </c>
      <c r="C9" s="316" t="s">
        <v>52</v>
      </c>
      <c r="D9" s="202" t="s">
        <v>25</v>
      </c>
      <c r="E9" s="317" t="s">
        <v>227</v>
      </c>
      <c r="F9" s="264"/>
      <c r="G9" s="393"/>
      <c r="H9" s="432"/>
      <c r="I9" s="237"/>
    </row>
    <row r="10" spans="1:9" ht="12.75">
      <c r="A10" s="33" t="s">
        <v>0</v>
      </c>
      <c r="B10" s="203">
        <f aca="true" t="shared" si="0" ref="B10:G10">SUM(B12:B39)</f>
        <v>4683861675.74</v>
      </c>
      <c r="C10" s="203">
        <f t="shared" si="0"/>
        <v>4419141662.8</v>
      </c>
      <c r="D10" s="203">
        <f t="shared" si="0"/>
        <v>2491265479.99</v>
      </c>
      <c r="E10" s="318">
        <f t="shared" si="0"/>
        <v>60498363</v>
      </c>
      <c r="F10" s="203">
        <f t="shared" si="0"/>
        <v>0</v>
      </c>
      <c r="G10" s="203">
        <f t="shared" si="0"/>
        <v>726217579</v>
      </c>
      <c r="H10" s="204">
        <f>SUM(H12:H39)</f>
        <v>446142300</v>
      </c>
      <c r="I10" s="204"/>
    </row>
    <row r="11" spans="1:7" ht="12.75">
      <c r="A11" s="33"/>
      <c r="B11" s="205"/>
      <c r="D11" s="319"/>
      <c r="E11" s="312"/>
      <c r="F11" s="319"/>
      <c r="G11" s="319"/>
    </row>
    <row r="12" spans="1:9" ht="12.75">
      <c r="A12" s="24" t="s">
        <v>1</v>
      </c>
      <c r="B12" s="197">
        <f>+C12+state5!B11+state5!F11+state5!J11</f>
        <v>93773547.71</v>
      </c>
      <c r="C12" s="309">
        <f>SUM(D12:H12)+SUM(state2!B12:K12)+SUM(state3!B13:J13)+SUM(state4!B13:H13)</f>
        <v>74454621.24</v>
      </c>
      <c r="D12" s="320">
        <v>39624675</v>
      </c>
      <c r="E12" s="321">
        <v>3552822</v>
      </c>
      <c r="F12" s="248"/>
      <c r="G12" s="320">
        <v>16043208</v>
      </c>
      <c r="H12" s="248">
        <v>4823807</v>
      </c>
      <c r="I12" s="248"/>
    </row>
    <row r="13" spans="1:9" ht="12.75">
      <c r="A13" s="206" t="s">
        <v>2</v>
      </c>
      <c r="B13" s="197">
        <f>+C13+state5!B12+state5!F12+state5!J12</f>
        <v>288188874.9</v>
      </c>
      <c r="C13" s="309">
        <f>SUM(D13:H13)+SUM(state2!B13:K13)+SUM(state3!B14:J14)+SUM(state4!B14:H14)</f>
        <v>271107323.9</v>
      </c>
      <c r="D13" s="320">
        <v>158118978</v>
      </c>
      <c r="E13" s="322">
        <v>0</v>
      </c>
      <c r="F13" s="197"/>
      <c r="G13" s="320">
        <v>29655827</v>
      </c>
      <c r="H13" s="248">
        <v>35211266</v>
      </c>
      <c r="I13" s="248"/>
    </row>
    <row r="14" spans="1:9" ht="12.75">
      <c r="A14" s="206" t="s">
        <v>3</v>
      </c>
      <c r="B14" s="197">
        <f>+C14+state5!B13+state5!F13+state5!J13</f>
        <v>793288807.35</v>
      </c>
      <c r="C14" s="309">
        <f>SUM(D14:H14)+SUM(state2!B14:K14)+SUM(state3!B15:J15)+SUM(state4!B15:H15)</f>
        <v>772744132.09</v>
      </c>
      <c r="D14" s="320">
        <v>365803483</v>
      </c>
      <c r="E14" s="323">
        <v>30239839</v>
      </c>
      <c r="F14" s="197"/>
      <c r="G14" s="320">
        <v>234131286</v>
      </c>
      <c r="H14" s="248">
        <v>42628028</v>
      </c>
      <c r="I14" s="248"/>
    </row>
    <row r="15" spans="1:9" ht="12.75">
      <c r="A15" s="206" t="s">
        <v>4</v>
      </c>
      <c r="B15" s="197">
        <f>+C15+state5!B14+state5!F14+state5!J14</f>
        <v>536963559.6600001</v>
      </c>
      <c r="C15" s="309">
        <f>SUM(D15:H15)+SUM(state2!B15:K15)+SUM(state3!B16:J16)+SUM(state4!B16:H16)</f>
        <v>498766281.66</v>
      </c>
      <c r="D15" s="320">
        <v>295037176</v>
      </c>
      <c r="E15" s="322">
        <v>0</v>
      </c>
      <c r="F15" s="197"/>
      <c r="G15" s="320">
        <v>68694414</v>
      </c>
      <c r="H15" s="248">
        <v>54895831</v>
      </c>
      <c r="I15" s="248"/>
    </row>
    <row r="16" spans="1:9" ht="12.75">
      <c r="A16" s="206" t="s">
        <v>5</v>
      </c>
      <c r="B16" s="197">
        <f>+C16+state5!B15+state5!F15+state5!J15</f>
        <v>84882585.21000001</v>
      </c>
      <c r="C16" s="309">
        <f>SUM(D16:H16)+SUM(state2!B16:K16)+SUM(state3!B17:J17)+SUM(state4!B17:H17)</f>
        <v>82208907.88000001</v>
      </c>
      <c r="D16" s="320">
        <v>56589104</v>
      </c>
      <c r="E16" s="322">
        <v>0</v>
      </c>
      <c r="F16" s="197"/>
      <c r="G16" s="320">
        <v>4939925</v>
      </c>
      <c r="H16" s="248">
        <v>9167534</v>
      </c>
      <c r="I16" s="248"/>
    </row>
    <row r="17" spans="2:9" ht="12.75">
      <c r="B17" s="197"/>
      <c r="D17" s="320"/>
      <c r="E17" s="323"/>
      <c r="F17" s="197"/>
      <c r="G17" s="320"/>
      <c r="H17" s="248"/>
      <c r="I17" s="248"/>
    </row>
    <row r="18" spans="1:9" ht="12.75">
      <c r="A18" s="206" t="s">
        <v>6</v>
      </c>
      <c r="B18" s="197">
        <f>+C18+state5!B17+state5!F17+state5!J17</f>
        <v>45197431.980000004</v>
      </c>
      <c r="C18" s="309">
        <f>SUM(D18:H18)+SUM(state2!B18:K18)+SUM(state3!B19:J19)+SUM(state4!B19:H19)</f>
        <v>39598509.2</v>
      </c>
      <c r="D18" s="320">
        <v>22327417</v>
      </c>
      <c r="E18" s="321">
        <v>614019</v>
      </c>
      <c r="F18" s="197"/>
      <c r="G18" s="320">
        <v>8085679</v>
      </c>
      <c r="H18" s="248">
        <v>2663107</v>
      </c>
      <c r="I18" s="248"/>
    </row>
    <row r="19" spans="1:9" ht="12.75">
      <c r="A19" s="206" t="s">
        <v>7</v>
      </c>
      <c r="B19" s="197">
        <f>+C19+state5!B18+state5!F18+state5!J18</f>
        <v>147647725.88</v>
      </c>
      <c r="C19" s="309">
        <f>SUM(D19:H19)+SUM(state2!B19:K19)+SUM(state3!B20:J20)+SUM(state4!B20:H20)</f>
        <v>138616622.63</v>
      </c>
      <c r="D19" s="320">
        <v>98057488</v>
      </c>
      <c r="E19" s="322">
        <v>0</v>
      </c>
      <c r="F19" s="197"/>
      <c r="G19" s="320">
        <v>6922924</v>
      </c>
      <c r="H19" s="248">
        <v>13436187</v>
      </c>
      <c r="I19" s="248"/>
    </row>
    <row r="20" spans="1:9" ht="12.75">
      <c r="A20" s="206" t="s">
        <v>8</v>
      </c>
      <c r="B20" s="197">
        <f>+C20+state5!B19+state5!F19+state5!J19</f>
        <v>108417892.85999998</v>
      </c>
      <c r="C20" s="309">
        <f>SUM(D20:H20)+SUM(state2!B20:K20)+SUM(state3!B21:J21)+SUM(state4!B21:H21)</f>
        <v>93891134.90999998</v>
      </c>
      <c r="D20" s="320">
        <v>59569511</v>
      </c>
      <c r="E20" s="321">
        <v>1444214</v>
      </c>
      <c r="F20" s="197"/>
      <c r="G20" s="320">
        <v>11608029</v>
      </c>
      <c r="H20" s="248">
        <v>7938956</v>
      </c>
      <c r="I20" s="248"/>
    </row>
    <row r="21" spans="1:9" ht="12.75">
      <c r="A21" s="206" t="s">
        <v>9</v>
      </c>
      <c r="B21" s="197">
        <f>+C21+state5!B20+state5!F20+state5!J20</f>
        <v>147716002.25</v>
      </c>
      <c r="C21" s="309">
        <f>SUM(D21:H21)+SUM(state2!B21:K21)+SUM(state3!B22:J22)+SUM(state4!B22:H22)</f>
        <v>140687209.11</v>
      </c>
      <c r="D21" s="320">
        <v>92971133</v>
      </c>
      <c r="E21" s="321">
        <v>1574125</v>
      </c>
      <c r="F21" s="197"/>
      <c r="G21" s="320">
        <v>16626651</v>
      </c>
      <c r="H21" s="248">
        <v>11742152</v>
      </c>
      <c r="I21" s="248"/>
    </row>
    <row r="22" spans="1:9" ht="12.75">
      <c r="A22" s="206" t="s">
        <v>10</v>
      </c>
      <c r="B22" s="197">
        <f>+C22+state5!B21+state5!F21+state5!J21</f>
        <v>28881618.04</v>
      </c>
      <c r="C22" s="309">
        <f>SUM(D22:H22)+SUM(state2!B22:K22)+SUM(state3!B23:J23)+SUM(state4!B23:H23)</f>
        <v>28313389.04</v>
      </c>
      <c r="D22" s="320">
        <v>15832370</v>
      </c>
      <c r="E22" s="322">
        <v>0</v>
      </c>
      <c r="F22" s="197"/>
      <c r="G22" s="320">
        <v>5599086</v>
      </c>
      <c r="H22" s="248">
        <v>2414577</v>
      </c>
      <c r="I22" s="248"/>
    </row>
    <row r="23" spans="2:9" ht="12.75">
      <c r="B23" s="197"/>
      <c r="D23" s="320"/>
      <c r="E23" s="323"/>
      <c r="F23" s="197"/>
      <c r="G23" s="320"/>
      <c r="H23" s="248"/>
      <c r="I23" s="248"/>
    </row>
    <row r="24" spans="1:9" ht="12.75">
      <c r="A24" s="206" t="s">
        <v>11</v>
      </c>
      <c r="B24" s="197">
        <f>+C24+state5!B23+state5!F23+state5!J23</f>
        <v>205455708.88000003</v>
      </c>
      <c r="C24" s="309">
        <f>SUM(D24:H24)+SUM(state2!B24:K24)+SUM(state3!B25:J25)+SUM(state4!B25:H25)</f>
        <v>186694643.88000003</v>
      </c>
      <c r="D24" s="320">
        <v>129325325</v>
      </c>
      <c r="E24" s="322">
        <v>0</v>
      </c>
      <c r="F24" s="197"/>
      <c r="G24" s="320">
        <v>12972218</v>
      </c>
      <c r="H24" s="248">
        <v>18473398</v>
      </c>
      <c r="I24" s="248"/>
    </row>
    <row r="25" spans="1:9" ht="12.75">
      <c r="A25" s="206" t="s">
        <v>12</v>
      </c>
      <c r="B25" s="197">
        <f>+C25+state5!B24+state5!F24+state5!J24</f>
        <v>25893488.290000003</v>
      </c>
      <c r="C25" s="309">
        <f>SUM(D25:H25)+SUM(state2!B25:K25)+SUM(state3!B26:J26)+SUM(state4!B26:H26)</f>
        <v>25784383.290000003</v>
      </c>
      <c r="D25" s="325">
        <v>14591114</v>
      </c>
      <c r="E25" s="322">
        <v>0</v>
      </c>
      <c r="F25" s="197"/>
      <c r="G25" s="320">
        <v>4160465</v>
      </c>
      <c r="H25" s="248">
        <v>2440131</v>
      </c>
      <c r="I25" s="248"/>
    </row>
    <row r="26" spans="1:9" ht="12.75">
      <c r="A26" s="206" t="s">
        <v>13</v>
      </c>
      <c r="B26" s="197">
        <f>+C26+state5!B25+state5!F25+state5!J25</f>
        <v>212800288.70000002</v>
      </c>
      <c r="C26" s="309">
        <f>SUM(D26:H26)+SUM(state2!B26:K26)+SUM(state3!B27:J27)+SUM(state4!B27:H27)</f>
        <v>204859025.91000003</v>
      </c>
      <c r="D26" s="320">
        <v>136960002</v>
      </c>
      <c r="E26" s="322">
        <v>0</v>
      </c>
      <c r="F26" s="197"/>
      <c r="G26" s="320">
        <v>19444926</v>
      </c>
      <c r="H26" s="248">
        <v>17751856</v>
      </c>
      <c r="I26" s="248"/>
    </row>
    <row r="27" spans="1:9" ht="12.75">
      <c r="A27" s="206" t="s">
        <v>14</v>
      </c>
      <c r="B27" s="197">
        <f>+C27+state5!B26+state5!F26+state5!J26</f>
        <v>189849786.76000002</v>
      </c>
      <c r="C27" s="309">
        <f>SUM(D27:H27)+SUM(state2!B27:K27)+SUM(state3!B28:J28)+SUM(state4!B28:H28)</f>
        <v>186582032.76000002</v>
      </c>
      <c r="D27" s="320">
        <v>117995933</v>
      </c>
      <c r="E27" s="322">
        <v>0</v>
      </c>
      <c r="F27" s="197"/>
      <c r="G27" s="320">
        <v>10451784</v>
      </c>
      <c r="H27" s="248">
        <v>29715994</v>
      </c>
      <c r="I27" s="248"/>
    </row>
    <row r="28" spans="1:9" ht="12.75">
      <c r="A28" s="206" t="s">
        <v>15</v>
      </c>
      <c r="B28" s="197">
        <f>+C28+state5!B27+state5!F27+state5!J27</f>
        <v>13509015.09</v>
      </c>
      <c r="C28" s="309">
        <f>SUM(D28:H28)+SUM(state2!B28:K28)+SUM(state3!B29:J29)+SUM(state4!B29:H29)</f>
        <v>10829417.09</v>
      </c>
      <c r="D28" s="320">
        <v>4643928</v>
      </c>
      <c r="E28" s="322">
        <v>0</v>
      </c>
      <c r="F28" s="197"/>
      <c r="G28" s="320">
        <v>1849069</v>
      </c>
      <c r="H28" s="248">
        <v>1370631</v>
      </c>
      <c r="I28" s="248"/>
    </row>
    <row r="29" spans="2:9" ht="12.75">
      <c r="B29" s="197"/>
      <c r="D29" s="320"/>
      <c r="E29" s="323"/>
      <c r="F29" s="197"/>
      <c r="G29" s="320"/>
      <c r="H29" s="197"/>
      <c r="I29" s="197"/>
    </row>
    <row r="30" spans="1:9" ht="12.75">
      <c r="A30" s="206" t="s">
        <v>16</v>
      </c>
      <c r="B30" s="197">
        <f>+C30+state5!B29+state5!F29+state5!J29</f>
        <v>475235451.59</v>
      </c>
      <c r="C30" s="309">
        <f>SUM(D30:H30)+SUM(state2!B30:K30)+SUM(state3!B31:J31)+SUM(state4!B31:H31)</f>
        <v>432359909.36</v>
      </c>
      <c r="D30" s="320">
        <v>179886089</v>
      </c>
      <c r="E30" s="322">
        <v>0</v>
      </c>
      <c r="F30" s="197"/>
      <c r="G30" s="320">
        <v>58125421</v>
      </c>
      <c r="H30" s="248">
        <v>91640319</v>
      </c>
      <c r="I30" s="248"/>
    </row>
    <row r="31" spans="1:9" ht="12.75">
      <c r="A31" s="206" t="s">
        <v>17</v>
      </c>
      <c r="B31" s="197">
        <f>+C31+state5!B30+state5!F30+state5!J30</f>
        <v>855278839.4099998</v>
      </c>
      <c r="C31" s="309">
        <f>SUM(D31:H31)+SUM(state2!B31:K31)+SUM(state3!B32:J32)+SUM(state4!B32:H32)</f>
        <v>840660375.4099998</v>
      </c>
      <c r="D31" s="320">
        <v>474714503</v>
      </c>
      <c r="E31" s="321">
        <v>17827775</v>
      </c>
      <c r="F31" s="197"/>
      <c r="G31" s="320">
        <v>154105171</v>
      </c>
      <c r="H31" s="248">
        <v>63552764</v>
      </c>
      <c r="I31" s="248"/>
    </row>
    <row r="32" spans="1:9" ht="12.75">
      <c r="A32" s="206" t="s">
        <v>18</v>
      </c>
      <c r="B32" s="197">
        <f>+C32+state5!B31+state5!F31+state5!J31</f>
        <v>34583997.769999996</v>
      </c>
      <c r="C32" s="309">
        <f>SUM(D32:H32)+SUM(state2!B32:K32)+SUM(state3!B33:J33)+SUM(state4!B33:H33)</f>
        <v>30200495.66</v>
      </c>
      <c r="D32" s="320">
        <v>18645645</v>
      </c>
      <c r="E32" s="322">
        <v>0</v>
      </c>
      <c r="F32" s="197"/>
      <c r="G32" s="320">
        <v>2170382</v>
      </c>
      <c r="H32" s="248">
        <v>3573724</v>
      </c>
      <c r="I32" s="248"/>
    </row>
    <row r="33" spans="1:9" ht="12.75">
      <c r="A33" s="206" t="s">
        <v>19</v>
      </c>
      <c r="B33" s="197">
        <f>+C33+state5!B32+state5!F32+state5!J32</f>
        <v>93054588.55000001</v>
      </c>
      <c r="C33" s="309">
        <f>SUM(D33:H33)+SUM(state2!B33:K33)+SUM(state3!B34:J34)+SUM(state4!B34:H34)</f>
        <v>86558432.32000001</v>
      </c>
      <c r="D33" s="320">
        <v>56775174.99</v>
      </c>
      <c r="E33" s="321">
        <v>196946</v>
      </c>
      <c r="F33" s="197"/>
      <c r="G33" s="320">
        <v>8858859</v>
      </c>
      <c r="H33" s="248">
        <v>7729249</v>
      </c>
      <c r="I33" s="248"/>
    </row>
    <row r="34" spans="1:9" ht="12.75">
      <c r="A34" s="206" t="s">
        <v>20</v>
      </c>
      <c r="B34" s="197">
        <f>+C34+state5!B33+state5!F33+state5!J33</f>
        <v>35557328.730000004</v>
      </c>
      <c r="C34" s="309">
        <f>SUM(D34:H34)+SUM(state2!B34:K34)+SUM(state3!B35:J35)+SUM(state4!B35:H35)</f>
        <v>22881576.81</v>
      </c>
      <c r="D34" s="320">
        <v>11462176</v>
      </c>
      <c r="E34" s="321">
        <v>968561</v>
      </c>
      <c r="F34" s="197"/>
      <c r="G34" s="320">
        <v>5530241</v>
      </c>
      <c r="H34" s="248">
        <v>1524515</v>
      </c>
      <c r="I34" s="248"/>
    </row>
    <row r="35" spans="2:9" ht="12.75">
      <c r="B35" s="306"/>
      <c r="D35" s="326"/>
      <c r="E35" s="323"/>
      <c r="F35" s="306"/>
      <c r="G35" s="326"/>
      <c r="H35" s="327"/>
      <c r="I35" s="327"/>
    </row>
    <row r="36" spans="1:9" ht="12.75">
      <c r="A36" s="206" t="s">
        <v>21</v>
      </c>
      <c r="B36" s="197">
        <f>+C36+state5!B35+state5!F35+state5!J35</f>
        <v>12694129.11</v>
      </c>
      <c r="C36" s="309">
        <f>SUM(D36:H36)+SUM(state2!B36:K36)+SUM(state3!B37:J37)+SUM(state4!B37:H37)</f>
        <v>12481410.33</v>
      </c>
      <c r="D36" s="320">
        <v>4827574</v>
      </c>
      <c r="E36" s="322">
        <v>0</v>
      </c>
      <c r="F36" s="197"/>
      <c r="G36" s="320">
        <v>2358320</v>
      </c>
      <c r="H36" s="248">
        <v>2241430</v>
      </c>
      <c r="I36" s="248"/>
    </row>
    <row r="37" spans="1:9" ht="12.75">
      <c r="A37" s="206" t="s">
        <v>22</v>
      </c>
      <c r="B37" s="197">
        <f>+C37+state5!B36+state5!F36+state5!J36</f>
        <v>123192042.67</v>
      </c>
      <c r="C37" s="309">
        <f>SUM(D37:H37)+SUM(state2!B37:K37)+SUM(state3!B38:J38)+SUM(state4!B38:H38)</f>
        <v>120833163.67</v>
      </c>
      <c r="D37" s="320">
        <v>75338722</v>
      </c>
      <c r="E37" s="321">
        <v>1129515</v>
      </c>
      <c r="F37" s="197"/>
      <c r="G37" s="320">
        <v>19407299</v>
      </c>
      <c r="H37" s="248">
        <v>9613975</v>
      </c>
      <c r="I37" s="248"/>
    </row>
    <row r="38" spans="1:9" ht="12.75">
      <c r="A38" s="206" t="s">
        <v>23</v>
      </c>
      <c r="B38" s="197">
        <f>+C38+state5!B37+state5!F37+state5!J37</f>
        <v>105130314.43</v>
      </c>
      <c r="C38" s="309">
        <f>SUM(D38:H38)+SUM(state2!B38:K38)+SUM(state3!B39:J39)+SUM(state4!B39:H39)</f>
        <v>97814717.04</v>
      </c>
      <c r="D38" s="320">
        <v>54907209</v>
      </c>
      <c r="E38" s="321">
        <v>2950547</v>
      </c>
      <c r="F38" s="197"/>
      <c r="G38" s="320">
        <v>20262944</v>
      </c>
      <c r="H38" s="248">
        <v>7477982</v>
      </c>
      <c r="I38" s="248"/>
    </row>
    <row r="39" spans="1:9" ht="12.75">
      <c r="A39" s="207" t="s">
        <v>24</v>
      </c>
      <c r="B39" s="307">
        <f>+C39+state5!B38+state5!F38+state5!J38</f>
        <v>26668649.92</v>
      </c>
      <c r="C39" s="328">
        <f>SUM(D39:H39)+SUM(state2!B39:K39)+SUM(state3!B40:J40)+SUM(state4!B40:H40)</f>
        <v>20213947.61</v>
      </c>
      <c r="D39" s="329">
        <v>7260750</v>
      </c>
      <c r="E39" s="330">
        <v>0</v>
      </c>
      <c r="F39" s="307"/>
      <c r="G39" s="329">
        <v>4213451</v>
      </c>
      <c r="H39" s="307">
        <v>4114887</v>
      </c>
      <c r="I39" s="248"/>
    </row>
    <row r="40" ht="12.75">
      <c r="G40" s="331"/>
    </row>
    <row r="41" spans="4:7" ht="12.75">
      <c r="D41" s="373">
        <v>2491265479.99</v>
      </c>
      <c r="G41" s="331"/>
    </row>
    <row r="42" spans="4:7" ht="12.75">
      <c r="D42" s="318">
        <v>60498363</v>
      </c>
      <c r="F42" s="124">
        <v>726217579</v>
      </c>
      <c r="G42" s="331"/>
    </row>
    <row r="43" spans="4:7" ht="12.75">
      <c r="D43" s="383">
        <v>726217579</v>
      </c>
      <c r="G43" s="331"/>
    </row>
    <row r="44" spans="4:7" ht="13.5" thickBot="1">
      <c r="D44" s="384">
        <f>SUM(D41:D43)</f>
        <v>3277981421.99</v>
      </c>
      <c r="G44" s="331"/>
    </row>
    <row r="45" ht="13.5" thickTop="1">
      <c r="G45" s="331"/>
    </row>
    <row r="46" spans="4:7" ht="12.75">
      <c r="D46" s="124">
        <f>D44/C10</f>
        <v>0.741768803110296</v>
      </c>
      <c r="G46" s="331"/>
    </row>
    <row r="47" ht="12.75">
      <c r="G47" s="331"/>
    </row>
    <row r="48" ht="12.75">
      <c r="G48" s="331"/>
    </row>
    <row r="49" ht="12.75">
      <c r="G49" s="331"/>
    </row>
    <row r="50" ht="12.75">
      <c r="G50" s="332"/>
    </row>
  </sheetData>
  <sheetProtection password="CAF5" sheet="1" objects="1" scenarios="1"/>
  <mergeCells count="6">
    <mergeCell ref="A1:H1"/>
    <mergeCell ref="A3:H3"/>
    <mergeCell ref="D5:H5"/>
    <mergeCell ref="D6:E6"/>
    <mergeCell ref="H6:H9"/>
    <mergeCell ref="G6:G9"/>
  </mergeCells>
  <printOptions horizontalCentered="1"/>
  <pageMargins left="0.34" right="0.27" top="0.83" bottom="1" header="0.67" footer="0.5"/>
  <pageSetup fitToHeight="1" fitToWidth="1" horizontalDpi="600" verticalDpi="600" orientation="landscape" scale="96" r:id="rId1"/>
  <headerFooter alignWithMargins="0">
    <oddFooter>&amp;L&amp;"Arial,Italic"&amp;9MSDE-DBS 10 / 2008&amp;C- 7 -&amp;R&amp;"Arial,Italic"&amp;9Selected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4.140625" style="0" customWidth="1"/>
    <col min="2" max="2" width="11.8515625" style="124" customWidth="1"/>
    <col min="3" max="3" width="14.00390625" style="124" bestFit="1" customWidth="1"/>
    <col min="4" max="4" width="1.57421875" style="124" customWidth="1"/>
    <col min="5" max="5" width="13.140625" style="124" customWidth="1"/>
    <col min="6" max="6" width="15.00390625" style="124" bestFit="1" customWidth="1"/>
    <col min="7" max="7" width="13.421875" style="124" customWidth="1"/>
    <col min="8" max="8" width="3.8515625" style="124" customWidth="1"/>
    <col min="9" max="9" width="16.421875" style="124" customWidth="1"/>
    <col min="10" max="10" width="15.421875" style="124" customWidth="1"/>
    <col min="11" max="11" width="13.57421875" style="0" customWidth="1"/>
    <col min="12" max="12" width="10.28125" style="0" bestFit="1" customWidth="1"/>
  </cols>
  <sheetData>
    <row r="1" spans="1:10" ht="12.75">
      <c r="A1" s="411" t="s">
        <v>128</v>
      </c>
      <c r="B1" s="411"/>
      <c r="C1" s="411"/>
      <c r="D1" s="411"/>
      <c r="E1" s="411"/>
      <c r="F1" s="411"/>
      <c r="G1" s="411"/>
      <c r="H1" s="411"/>
      <c r="I1" s="411"/>
      <c r="J1" s="411"/>
    </row>
    <row r="3" spans="1:10" s="97" customFormat="1" ht="12.75">
      <c r="A3" s="410" t="s">
        <v>224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2:11" ht="13.5" thickBot="1"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ht="15" customHeight="1" thickTop="1">
      <c r="A5" s="6"/>
      <c r="B5" s="394" t="s">
        <v>279</v>
      </c>
      <c r="C5" s="395"/>
      <c r="D5" s="395"/>
      <c r="E5" s="395"/>
      <c r="F5" s="395"/>
      <c r="G5" s="395"/>
      <c r="H5" s="395"/>
      <c r="I5" s="395"/>
      <c r="J5" s="395"/>
      <c r="K5" s="395"/>
    </row>
    <row r="6" spans="1:26" ht="12.75" customHeight="1" thickBot="1">
      <c r="A6" s="3"/>
      <c r="B6" s="429"/>
      <c r="C6" s="429"/>
      <c r="D6" s="200"/>
      <c r="E6" s="429" t="s">
        <v>31</v>
      </c>
      <c r="F6" s="429"/>
      <c r="G6" s="429"/>
      <c r="H6" s="313"/>
      <c r="I6" s="387" t="s">
        <v>166</v>
      </c>
      <c r="J6" s="387"/>
      <c r="K6" s="38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 t="s">
        <v>85</v>
      </c>
      <c r="B7" s="334" t="s">
        <v>134</v>
      </c>
      <c r="C7" s="334" t="s">
        <v>164</v>
      </c>
      <c r="D7" s="334"/>
      <c r="E7" s="261"/>
      <c r="F7" s="200"/>
      <c r="G7" s="386" t="s">
        <v>206</v>
      </c>
      <c r="I7" s="396" t="s">
        <v>183</v>
      </c>
      <c r="J7" s="398" t="s">
        <v>184</v>
      </c>
      <c r="K7" s="338" t="s">
        <v>193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11" ht="12.75">
      <c r="A8" s="3" t="s">
        <v>35</v>
      </c>
      <c r="B8" s="334" t="s">
        <v>142</v>
      </c>
      <c r="C8" s="334" t="s">
        <v>165</v>
      </c>
      <c r="D8" s="334"/>
      <c r="E8" s="261"/>
      <c r="F8" s="200" t="s">
        <v>29</v>
      </c>
      <c r="G8" s="397"/>
      <c r="I8" s="397"/>
      <c r="J8" s="399"/>
      <c r="K8" s="339" t="s">
        <v>194</v>
      </c>
    </row>
    <row r="9" spans="1:11" ht="13.5" thickBot="1">
      <c r="A9" s="7" t="s">
        <v>144</v>
      </c>
      <c r="B9" s="202" t="s">
        <v>143</v>
      </c>
      <c r="C9" s="202" t="s">
        <v>27</v>
      </c>
      <c r="D9" s="202"/>
      <c r="E9" s="264" t="s">
        <v>25</v>
      </c>
      <c r="F9" s="264" t="s">
        <v>30</v>
      </c>
      <c r="G9" s="432"/>
      <c r="I9" s="432"/>
      <c r="J9" s="385"/>
      <c r="K9" s="340"/>
    </row>
    <row r="10" spans="1:11" s="48" customFormat="1" ht="12.75">
      <c r="A10" s="54" t="s">
        <v>0</v>
      </c>
      <c r="B10" s="342">
        <f aca="true" t="shared" si="0" ref="B10:G10">SUM(B12:B39)</f>
        <v>48117</v>
      </c>
      <c r="C10" s="335">
        <f t="shared" si="0"/>
        <v>5831092.399999999</v>
      </c>
      <c r="D10" s="335">
        <f t="shared" si="0"/>
        <v>0</v>
      </c>
      <c r="E10" s="335">
        <f t="shared" si="0"/>
        <v>225504977.61999997</v>
      </c>
      <c r="F10" s="335">
        <f t="shared" si="0"/>
        <v>98740254.97999997</v>
      </c>
      <c r="G10" s="335">
        <f t="shared" si="0"/>
        <v>2080930.7300000004</v>
      </c>
      <c r="I10" s="335">
        <f>SUM(I12:I39)</f>
        <v>179406700</v>
      </c>
      <c r="J10" s="335">
        <f>SUM(J12:J39)</f>
        <v>22406428</v>
      </c>
      <c r="K10" s="335">
        <f>SUM(K12:K39)</f>
        <v>35000</v>
      </c>
    </row>
    <row r="11" spans="1:11" ht="12.75">
      <c r="A11" s="3"/>
      <c r="B11" s="324"/>
      <c r="C11" s="324"/>
      <c r="D11" s="324"/>
      <c r="E11" s="248"/>
      <c r="F11" s="248"/>
      <c r="G11" s="248"/>
      <c r="I11" s="213"/>
      <c r="J11" s="213"/>
      <c r="K11" s="213"/>
    </row>
    <row r="12" spans="1:12" ht="12.75">
      <c r="A12" t="s">
        <v>1</v>
      </c>
      <c r="B12" s="221">
        <v>0</v>
      </c>
      <c r="C12" s="219">
        <v>0</v>
      </c>
      <c r="D12" s="213"/>
      <c r="E12" s="219">
        <v>4271560.9</v>
      </c>
      <c r="F12" s="213">
        <v>876265.73</v>
      </c>
      <c r="G12" s="213">
        <v>66174</v>
      </c>
      <c r="H12" s="213"/>
      <c r="I12" s="219">
        <v>3421589</v>
      </c>
      <c r="J12" s="213">
        <v>186300</v>
      </c>
      <c r="K12" s="213">
        <v>0</v>
      </c>
      <c r="L12" s="1"/>
    </row>
    <row r="13" spans="1:11" ht="12.75">
      <c r="A13" t="s">
        <v>2</v>
      </c>
      <c r="B13" s="221">
        <v>0</v>
      </c>
      <c r="C13" s="219">
        <v>410946</v>
      </c>
      <c r="D13" s="213"/>
      <c r="E13" s="219">
        <v>14550204</v>
      </c>
      <c r="F13" s="213">
        <v>9255057.280000001</v>
      </c>
      <c r="G13" s="213">
        <v>447262.86</v>
      </c>
      <c r="H13" s="213"/>
      <c r="I13" s="219">
        <v>15395620</v>
      </c>
      <c r="J13" s="213">
        <v>1485900</v>
      </c>
      <c r="K13" s="213">
        <v>0</v>
      </c>
    </row>
    <row r="14" spans="1:11" ht="12.75">
      <c r="A14" t="s">
        <v>3</v>
      </c>
      <c r="B14" s="221">
        <v>0</v>
      </c>
      <c r="C14" s="219">
        <v>0</v>
      </c>
      <c r="D14" s="213"/>
      <c r="E14" s="219">
        <v>50016084.76</v>
      </c>
      <c r="F14" s="213">
        <v>17160567.83</v>
      </c>
      <c r="G14" s="213">
        <v>0</v>
      </c>
      <c r="H14" s="213"/>
      <c r="I14" s="219">
        <v>12408956</v>
      </c>
      <c r="J14" s="213">
        <v>3433500</v>
      </c>
      <c r="K14" s="213">
        <v>0</v>
      </c>
    </row>
    <row r="15" spans="1:11" ht="12.75">
      <c r="A15" t="s">
        <v>4</v>
      </c>
      <c r="B15" s="221">
        <v>0</v>
      </c>
      <c r="C15" s="219">
        <v>3608733</v>
      </c>
      <c r="D15" s="213"/>
      <c r="E15" s="219">
        <v>23043489</v>
      </c>
      <c r="F15" s="213">
        <v>13516593</v>
      </c>
      <c r="G15" s="213">
        <v>553140.74</v>
      </c>
      <c r="H15" s="213"/>
      <c r="I15" s="219">
        <v>19419741</v>
      </c>
      <c r="J15" s="213">
        <v>2797200</v>
      </c>
      <c r="K15" s="213">
        <v>0</v>
      </c>
    </row>
    <row r="16" spans="1:11" ht="12.75">
      <c r="A16" t="s">
        <v>5</v>
      </c>
      <c r="B16" s="221">
        <v>0</v>
      </c>
      <c r="C16" s="380">
        <v>0</v>
      </c>
      <c r="D16" s="213"/>
      <c r="E16" s="219">
        <v>4297870</v>
      </c>
      <c r="F16" s="213">
        <v>896465.23</v>
      </c>
      <c r="G16" s="213">
        <v>0</v>
      </c>
      <c r="H16" s="213"/>
      <c r="I16" s="219">
        <v>4195127</v>
      </c>
      <c r="J16" s="213">
        <v>266400</v>
      </c>
      <c r="K16" s="213">
        <v>0</v>
      </c>
    </row>
    <row r="17" spans="2:11" ht="12.75">
      <c r="B17" s="324"/>
      <c r="C17" s="219"/>
      <c r="D17" s="213"/>
      <c r="E17" s="213"/>
      <c r="F17" s="213"/>
      <c r="G17" s="213"/>
      <c r="H17" s="213"/>
      <c r="I17" s="213"/>
      <c r="J17" s="213"/>
      <c r="K17" s="213"/>
    </row>
    <row r="18" spans="1:11" ht="12.75">
      <c r="A18" t="s">
        <v>6</v>
      </c>
      <c r="B18" s="221">
        <v>0</v>
      </c>
      <c r="C18" s="219">
        <v>0</v>
      </c>
      <c r="D18" s="213"/>
      <c r="E18" s="219">
        <v>1968606</v>
      </c>
      <c r="F18" s="213">
        <v>240231.73</v>
      </c>
      <c r="G18" s="213">
        <v>46603</v>
      </c>
      <c r="H18" s="213"/>
      <c r="I18" s="219">
        <v>1941869</v>
      </c>
      <c r="J18" s="213">
        <v>94500</v>
      </c>
      <c r="K18" s="213"/>
    </row>
    <row r="19" spans="1:11" ht="12.75">
      <c r="A19" t="s">
        <v>7</v>
      </c>
      <c r="B19" s="221">
        <v>0</v>
      </c>
      <c r="C19" s="219">
        <v>25726</v>
      </c>
      <c r="D19" s="213"/>
      <c r="E19" s="219">
        <v>7244853</v>
      </c>
      <c r="F19" s="219">
        <v>3208208.23</v>
      </c>
      <c r="G19" s="213">
        <v>159456</v>
      </c>
      <c r="H19" s="213"/>
      <c r="I19" s="219">
        <v>7222130</v>
      </c>
      <c r="J19" s="213">
        <v>537300</v>
      </c>
      <c r="K19" s="219">
        <v>0</v>
      </c>
    </row>
    <row r="20" spans="1:11" ht="12.75">
      <c r="A20" t="s">
        <v>8</v>
      </c>
      <c r="B20" s="221">
        <v>0</v>
      </c>
      <c r="C20" s="380">
        <v>0</v>
      </c>
      <c r="D20" s="213"/>
      <c r="E20" s="219">
        <v>5482133</v>
      </c>
      <c r="F20" s="219">
        <v>1640875.79</v>
      </c>
      <c r="G20" s="213">
        <v>91379</v>
      </c>
      <c r="H20" s="213"/>
      <c r="I20" s="213">
        <v>3787660</v>
      </c>
      <c r="J20" s="219">
        <v>243000</v>
      </c>
      <c r="K20" s="213">
        <v>0</v>
      </c>
    </row>
    <row r="21" spans="1:11" ht="12.75">
      <c r="A21" t="s">
        <v>9</v>
      </c>
      <c r="B21" s="221">
        <v>0</v>
      </c>
      <c r="C21" s="219">
        <v>6557</v>
      </c>
      <c r="D21" s="213"/>
      <c r="E21" s="219">
        <v>4388599</v>
      </c>
      <c r="F21" s="219">
        <v>1351877.84</v>
      </c>
      <c r="G21" s="213">
        <v>0</v>
      </c>
      <c r="H21" s="213"/>
      <c r="I21" s="219">
        <v>7579134</v>
      </c>
      <c r="J21" s="213">
        <v>433900</v>
      </c>
      <c r="K21" s="213">
        <v>0</v>
      </c>
    </row>
    <row r="22" spans="1:11" ht="12.75">
      <c r="A22" t="s">
        <v>10</v>
      </c>
      <c r="B22" s="221">
        <v>0</v>
      </c>
      <c r="C22" s="219">
        <v>0</v>
      </c>
      <c r="D22" s="213"/>
      <c r="E22" s="219">
        <v>795217</v>
      </c>
      <c r="F22" s="213">
        <v>0</v>
      </c>
      <c r="G22" s="213">
        <v>35462</v>
      </c>
      <c r="H22" s="213"/>
      <c r="I22" s="219">
        <v>1773972</v>
      </c>
      <c r="J22" s="213">
        <v>72000</v>
      </c>
      <c r="K22" s="213">
        <v>0</v>
      </c>
    </row>
    <row r="23" spans="2:11" ht="12.75">
      <c r="B23" s="324"/>
      <c r="C23" s="219"/>
      <c r="D23" s="213"/>
      <c r="E23" s="213"/>
      <c r="F23" s="213"/>
      <c r="G23" s="213"/>
      <c r="H23" s="213"/>
      <c r="I23" s="213"/>
      <c r="J23" s="213"/>
      <c r="K23" s="213"/>
    </row>
    <row r="24" spans="1:11" ht="12.75">
      <c r="A24" t="s">
        <v>11</v>
      </c>
      <c r="B24" s="221">
        <v>0</v>
      </c>
      <c r="C24" s="219">
        <v>21265.5</v>
      </c>
      <c r="D24" s="213"/>
      <c r="E24" s="219">
        <v>9584040.8</v>
      </c>
      <c r="F24" s="219">
        <v>1746778.87</v>
      </c>
      <c r="G24" s="213">
        <v>0</v>
      </c>
      <c r="H24" s="213"/>
      <c r="I24" s="219">
        <v>8516404</v>
      </c>
      <c r="J24" s="213">
        <v>752400</v>
      </c>
      <c r="K24" s="213">
        <v>0</v>
      </c>
    </row>
    <row r="25" spans="1:11" ht="12.75">
      <c r="A25" t="s">
        <v>12</v>
      </c>
      <c r="B25" s="218">
        <v>0</v>
      </c>
      <c r="C25" s="219">
        <v>86583</v>
      </c>
      <c r="D25" s="213"/>
      <c r="E25" s="219">
        <v>1256112</v>
      </c>
      <c r="F25" s="219">
        <v>108415.24</v>
      </c>
      <c r="G25" s="213">
        <v>0</v>
      </c>
      <c r="H25" s="213"/>
      <c r="I25" s="219">
        <v>2272218</v>
      </c>
      <c r="J25" s="213">
        <v>32400</v>
      </c>
      <c r="K25" s="219">
        <v>0</v>
      </c>
    </row>
    <row r="26" spans="1:11" ht="12.75">
      <c r="A26" t="s">
        <v>13</v>
      </c>
      <c r="B26" s="221">
        <v>0</v>
      </c>
      <c r="C26" s="219">
        <v>150610.8</v>
      </c>
      <c r="D26" s="213"/>
      <c r="E26" s="219">
        <v>11249900</v>
      </c>
      <c r="F26" s="219">
        <v>4827689.16</v>
      </c>
      <c r="G26" s="213">
        <v>0</v>
      </c>
      <c r="H26" s="213"/>
      <c r="I26" s="219">
        <v>9044530</v>
      </c>
      <c r="J26" s="213">
        <v>617400</v>
      </c>
      <c r="K26" s="213">
        <v>0</v>
      </c>
    </row>
    <row r="27" spans="1:11" ht="12.75">
      <c r="A27" t="s">
        <v>14</v>
      </c>
      <c r="B27" s="221">
        <v>0</v>
      </c>
      <c r="C27" s="321">
        <v>366621</v>
      </c>
      <c r="D27" s="213"/>
      <c r="E27" s="219">
        <v>6391867</v>
      </c>
      <c r="F27" s="219">
        <v>3335234.4</v>
      </c>
      <c r="G27" s="213">
        <v>302396</v>
      </c>
      <c r="H27" s="213"/>
      <c r="I27" s="219">
        <v>10860212</v>
      </c>
      <c r="J27" s="213">
        <v>864828</v>
      </c>
      <c r="K27" s="213">
        <v>0</v>
      </c>
    </row>
    <row r="28" spans="1:11" ht="12.75">
      <c r="A28" t="s">
        <v>15</v>
      </c>
      <c r="B28" s="221">
        <v>0</v>
      </c>
      <c r="C28" s="321">
        <v>25998</v>
      </c>
      <c r="D28" s="213"/>
      <c r="E28" s="219">
        <v>615142</v>
      </c>
      <c r="F28" s="213">
        <v>0</v>
      </c>
      <c r="G28" s="213">
        <v>11854.56</v>
      </c>
      <c r="H28" s="213"/>
      <c r="I28" s="219">
        <v>1186658</v>
      </c>
      <c r="J28" s="213">
        <v>46800</v>
      </c>
      <c r="K28" s="213">
        <v>0</v>
      </c>
    </row>
    <row r="29" spans="2:11" ht="12.75">
      <c r="B29" s="324"/>
      <c r="C29" s="219"/>
      <c r="D29" s="213"/>
      <c r="E29" s="213"/>
      <c r="F29" s="213"/>
      <c r="G29" s="213"/>
      <c r="H29" s="213"/>
      <c r="I29" s="213"/>
      <c r="J29" s="213"/>
      <c r="K29" s="213"/>
    </row>
    <row r="30" spans="1:11" ht="12.75">
      <c r="A30" t="s">
        <v>16</v>
      </c>
      <c r="B30" s="221">
        <v>0</v>
      </c>
      <c r="C30" s="219">
        <v>870956</v>
      </c>
      <c r="D30" s="213"/>
      <c r="E30" s="219">
        <v>27096924</v>
      </c>
      <c r="F30" s="219">
        <v>12148412</v>
      </c>
      <c r="G30" s="213">
        <v>0</v>
      </c>
      <c r="H30" s="213"/>
      <c r="I30" s="219">
        <v>23636236</v>
      </c>
      <c r="J30" s="213">
        <v>4662000</v>
      </c>
      <c r="K30" s="213">
        <v>0</v>
      </c>
    </row>
    <row r="31" spans="1:11" ht="12.75">
      <c r="A31" t="s">
        <v>17</v>
      </c>
      <c r="B31" s="221">
        <v>0</v>
      </c>
      <c r="C31" s="219">
        <v>194268</v>
      </c>
      <c r="D31" s="213"/>
      <c r="E31" s="219">
        <v>33917721.31</v>
      </c>
      <c r="F31" s="219">
        <v>25360548</v>
      </c>
      <c r="G31" s="213">
        <v>0</v>
      </c>
      <c r="H31" s="213"/>
      <c r="I31" s="219">
        <v>26037367</v>
      </c>
      <c r="J31" s="213">
        <v>4887000</v>
      </c>
      <c r="K31" s="213">
        <v>0</v>
      </c>
    </row>
    <row r="32" spans="1:11" ht="12.75">
      <c r="A32" t="s">
        <v>18</v>
      </c>
      <c r="B32" s="221">
        <v>0</v>
      </c>
      <c r="C32" s="219">
        <v>28582</v>
      </c>
      <c r="D32" s="213"/>
      <c r="E32" s="219">
        <v>1518523</v>
      </c>
      <c r="F32" s="219">
        <v>335955.21</v>
      </c>
      <c r="G32" s="213">
        <v>56198</v>
      </c>
      <c r="H32" s="213"/>
      <c r="I32" s="219">
        <v>2474727</v>
      </c>
      <c r="J32" s="213">
        <v>59400</v>
      </c>
      <c r="K32" s="213">
        <v>0</v>
      </c>
    </row>
    <row r="33" spans="1:11" ht="12.75">
      <c r="A33" t="s">
        <v>19</v>
      </c>
      <c r="B33" s="221">
        <v>0</v>
      </c>
      <c r="C33" s="219">
        <v>0</v>
      </c>
      <c r="D33" s="213"/>
      <c r="E33" s="219">
        <v>4721261.85</v>
      </c>
      <c r="F33" s="219">
        <v>941537.59</v>
      </c>
      <c r="G33" s="213">
        <v>0</v>
      </c>
      <c r="H33" s="213"/>
      <c r="I33" s="219">
        <v>4728064</v>
      </c>
      <c r="J33" s="213">
        <v>279000</v>
      </c>
      <c r="K33" s="213">
        <v>0</v>
      </c>
    </row>
    <row r="34" spans="1:11" ht="12.75">
      <c r="A34" t="s">
        <v>20</v>
      </c>
      <c r="B34" s="221">
        <v>0</v>
      </c>
      <c r="C34" s="219">
        <v>0</v>
      </c>
      <c r="D34" s="213"/>
      <c r="E34" s="219">
        <v>1076445</v>
      </c>
      <c r="F34" s="219">
        <v>0</v>
      </c>
      <c r="G34" s="213">
        <v>20893.07</v>
      </c>
      <c r="H34" s="213"/>
      <c r="I34" s="219">
        <v>1379792</v>
      </c>
      <c r="J34" s="213">
        <v>51300</v>
      </c>
      <c r="K34" s="213">
        <v>35000</v>
      </c>
    </row>
    <row r="35" spans="2:11" ht="12.75">
      <c r="B35" s="324"/>
      <c r="C35" s="219"/>
      <c r="D35" s="213"/>
      <c r="E35" s="213"/>
      <c r="F35" s="219"/>
      <c r="G35" s="213"/>
      <c r="H35" s="213"/>
      <c r="I35" s="213"/>
      <c r="J35" s="213"/>
      <c r="K35" s="213"/>
    </row>
    <row r="36" spans="1:11" ht="12.75">
      <c r="A36" t="s">
        <v>21</v>
      </c>
      <c r="B36" s="221">
        <v>0</v>
      </c>
      <c r="C36" s="219">
        <v>5168</v>
      </c>
      <c r="D36" s="213"/>
      <c r="E36" s="219">
        <v>691784</v>
      </c>
      <c r="F36" s="219">
        <v>0</v>
      </c>
      <c r="G36" s="213">
        <v>34381.62</v>
      </c>
      <c r="H36" s="213"/>
      <c r="I36" s="219">
        <v>1195398</v>
      </c>
      <c r="J36" s="213">
        <v>13500</v>
      </c>
      <c r="K36" s="213">
        <v>0</v>
      </c>
    </row>
    <row r="37" spans="1:11" ht="12.75">
      <c r="A37" t="s">
        <v>22</v>
      </c>
      <c r="B37" s="221">
        <v>48117</v>
      </c>
      <c r="C37" s="219">
        <v>13655</v>
      </c>
      <c r="D37" s="213"/>
      <c r="E37" s="219">
        <v>5730179</v>
      </c>
      <c r="F37" s="219">
        <v>1524351</v>
      </c>
      <c r="G37" s="213">
        <v>124319.88</v>
      </c>
      <c r="H37" s="213"/>
      <c r="I37" s="219">
        <v>4899645</v>
      </c>
      <c r="J37" s="219">
        <v>334800</v>
      </c>
      <c r="K37" s="219">
        <v>0</v>
      </c>
    </row>
    <row r="38" spans="1:11" ht="12.75">
      <c r="A38" t="s">
        <v>23</v>
      </c>
      <c r="B38" s="221">
        <v>0</v>
      </c>
      <c r="C38" s="219">
        <v>15423.1</v>
      </c>
      <c r="D38" s="213"/>
      <c r="E38" s="219">
        <v>4526138</v>
      </c>
      <c r="F38" s="219">
        <v>265190.85</v>
      </c>
      <c r="G38" s="213">
        <v>106738</v>
      </c>
      <c r="H38" s="213"/>
      <c r="I38" s="219">
        <v>3781565</v>
      </c>
      <c r="J38" s="213">
        <v>210600</v>
      </c>
      <c r="K38" s="213">
        <v>0</v>
      </c>
    </row>
    <row r="39" spans="1:11" ht="12.75">
      <c r="A39" s="13" t="s">
        <v>24</v>
      </c>
      <c r="B39" s="224">
        <v>0</v>
      </c>
      <c r="C39" s="381">
        <v>0</v>
      </c>
      <c r="D39" s="224"/>
      <c r="E39" s="220">
        <v>1070323</v>
      </c>
      <c r="F39" s="224">
        <v>0</v>
      </c>
      <c r="G39" s="224">
        <v>24672</v>
      </c>
      <c r="H39" s="224"/>
      <c r="I39" s="220">
        <v>2248086</v>
      </c>
      <c r="J39" s="224">
        <v>45000</v>
      </c>
      <c r="K39" s="224">
        <v>0</v>
      </c>
    </row>
    <row r="40" spans="2:10" ht="12.75">
      <c r="B40" s="213"/>
      <c r="C40" s="213"/>
      <c r="D40" s="213"/>
      <c r="J40" s="213"/>
    </row>
    <row r="41" spans="2:10" ht="12.75">
      <c r="B41" s="213"/>
      <c r="C41" s="213"/>
      <c r="D41" s="213"/>
      <c r="H41" s="64"/>
      <c r="J41" s="213"/>
    </row>
    <row r="42" spans="2:10" ht="12.75">
      <c r="B42" s="213"/>
      <c r="C42" s="213"/>
      <c r="D42" s="213"/>
      <c r="F42" s="98"/>
      <c r="J42" s="213"/>
    </row>
    <row r="43" spans="2:10" ht="12.75">
      <c r="B43" s="213"/>
      <c r="C43" s="213"/>
      <c r="D43" s="213"/>
      <c r="J43" s="213"/>
    </row>
    <row r="44" spans="2:10" ht="12.75">
      <c r="B44" s="213"/>
      <c r="C44" s="213"/>
      <c r="D44" s="213"/>
      <c r="J44" s="213"/>
    </row>
    <row r="45" ht="12.75">
      <c r="J45" s="213"/>
    </row>
    <row r="46" ht="12.75">
      <c r="J46" s="213"/>
    </row>
    <row r="47" ht="12.75">
      <c r="J47" s="213"/>
    </row>
    <row r="48" ht="12.75">
      <c r="J48" s="213"/>
    </row>
    <row r="49" ht="12.75">
      <c r="J49" s="213"/>
    </row>
    <row r="50" ht="12.75">
      <c r="J50" s="213"/>
    </row>
    <row r="51" ht="12.75">
      <c r="J51" s="213"/>
    </row>
    <row r="52" ht="12.75">
      <c r="J52" s="213"/>
    </row>
    <row r="53" ht="12.75">
      <c r="J53" s="213"/>
    </row>
    <row r="54" ht="12.75">
      <c r="J54" s="213"/>
    </row>
    <row r="55" ht="12.75">
      <c r="J55" s="213"/>
    </row>
    <row r="56" ht="12.75">
      <c r="J56" s="213"/>
    </row>
    <row r="57" ht="12.75">
      <c r="J57" s="213"/>
    </row>
    <row r="58" ht="12.75">
      <c r="J58" s="213"/>
    </row>
    <row r="59" ht="12.75">
      <c r="J59" s="213"/>
    </row>
    <row r="60" ht="12.75">
      <c r="J60" s="213"/>
    </row>
    <row r="61" ht="12.75">
      <c r="J61" s="213"/>
    </row>
    <row r="62" ht="12.75">
      <c r="J62" s="213"/>
    </row>
    <row r="63" ht="12.75">
      <c r="J63" s="213"/>
    </row>
    <row r="64" ht="12.75">
      <c r="J64" s="213"/>
    </row>
    <row r="65" ht="12.75">
      <c r="J65" s="213"/>
    </row>
    <row r="66" ht="12.75">
      <c r="J66" s="213"/>
    </row>
    <row r="67" ht="12.75">
      <c r="J67" s="213"/>
    </row>
    <row r="68" ht="12.75">
      <c r="J68" s="213"/>
    </row>
    <row r="69" ht="12.75">
      <c r="J69" s="213"/>
    </row>
    <row r="70" ht="12.75">
      <c r="J70" s="213"/>
    </row>
    <row r="71" ht="12.75">
      <c r="J71" s="213"/>
    </row>
    <row r="72" ht="12.75">
      <c r="J72" s="213"/>
    </row>
    <row r="73" ht="12.75">
      <c r="J73" s="213"/>
    </row>
    <row r="74" ht="12.75">
      <c r="J74" s="213"/>
    </row>
    <row r="75" ht="12.75">
      <c r="J75" s="213"/>
    </row>
    <row r="76" ht="12.75">
      <c r="J76" s="213"/>
    </row>
    <row r="77" ht="12.75">
      <c r="J77" s="213"/>
    </row>
    <row r="78" ht="12.75">
      <c r="J78" s="213"/>
    </row>
    <row r="79" ht="12.75">
      <c r="J79" s="213"/>
    </row>
    <row r="80" ht="12.75">
      <c r="J80" s="213"/>
    </row>
    <row r="81" ht="12.75">
      <c r="J81" s="213"/>
    </row>
    <row r="82" ht="12.75">
      <c r="J82" s="213"/>
    </row>
    <row r="83" ht="12.75">
      <c r="J83" s="213"/>
    </row>
    <row r="84" ht="12.75">
      <c r="J84" s="213"/>
    </row>
    <row r="85" ht="12.75">
      <c r="J85" s="213"/>
    </row>
    <row r="86" ht="12.75">
      <c r="J86" s="213"/>
    </row>
    <row r="87" ht="12.75">
      <c r="J87" s="213"/>
    </row>
    <row r="88" ht="12.75">
      <c r="J88" s="213"/>
    </row>
    <row r="89" ht="12.75">
      <c r="J89" s="213"/>
    </row>
    <row r="90" ht="12.75">
      <c r="J90" s="213"/>
    </row>
    <row r="91" ht="12.75">
      <c r="J91" s="213"/>
    </row>
    <row r="92" ht="12.75">
      <c r="J92" s="213"/>
    </row>
    <row r="93" ht="12.75">
      <c r="J93" s="213"/>
    </row>
    <row r="94" ht="12.75">
      <c r="J94" s="213"/>
    </row>
    <row r="95" ht="12.75">
      <c r="J95" s="213"/>
    </row>
    <row r="96" ht="12.75">
      <c r="J96" s="213"/>
    </row>
    <row r="97" ht="12.75">
      <c r="J97" s="213"/>
    </row>
    <row r="98" ht="12.75">
      <c r="J98" s="213"/>
    </row>
    <row r="99" ht="12.75">
      <c r="J99" s="213"/>
    </row>
    <row r="100" ht="12.75">
      <c r="J100" s="213"/>
    </row>
    <row r="101" ht="12.75">
      <c r="J101" s="213"/>
    </row>
    <row r="102" ht="12.75">
      <c r="J102" s="213"/>
    </row>
    <row r="103" ht="12.75">
      <c r="J103" s="213"/>
    </row>
    <row r="104" ht="12.75">
      <c r="J104" s="213"/>
    </row>
    <row r="105" ht="12.75">
      <c r="J105" s="213"/>
    </row>
    <row r="106" ht="12.75">
      <c r="J106" s="213"/>
    </row>
    <row r="107" ht="12.75">
      <c r="J107" s="213"/>
    </row>
    <row r="108" ht="12.75">
      <c r="J108" s="213"/>
    </row>
    <row r="109" ht="12.75">
      <c r="J109" s="213"/>
    </row>
    <row r="110" ht="12.75">
      <c r="J110" s="213"/>
    </row>
    <row r="111" ht="12.75">
      <c r="J111" s="213"/>
    </row>
    <row r="112" ht="12.75">
      <c r="J112" s="213"/>
    </row>
    <row r="113" ht="12.75">
      <c r="J113" s="213"/>
    </row>
    <row r="114" ht="12.75">
      <c r="J114" s="213"/>
    </row>
    <row r="115" ht="12.75">
      <c r="J115" s="213"/>
    </row>
    <row r="116" ht="12.75">
      <c r="J116" s="213"/>
    </row>
    <row r="117" ht="12.75">
      <c r="J117" s="213"/>
    </row>
    <row r="118" ht="12.75">
      <c r="J118" s="213"/>
    </row>
    <row r="119" ht="12.75">
      <c r="J119" s="213"/>
    </row>
    <row r="120" ht="12.75">
      <c r="J120" s="213"/>
    </row>
    <row r="121" ht="12.75">
      <c r="J121" s="213"/>
    </row>
    <row r="122" ht="12.75">
      <c r="J122" s="213"/>
    </row>
    <row r="123" ht="12.75">
      <c r="J123" s="213"/>
    </row>
    <row r="124" ht="12.75">
      <c r="J124" s="213"/>
    </row>
    <row r="125" ht="12.75">
      <c r="J125" s="213"/>
    </row>
    <row r="126" ht="12.75">
      <c r="J126" s="213"/>
    </row>
    <row r="127" ht="12.75">
      <c r="J127" s="213"/>
    </row>
    <row r="128" ht="12.75">
      <c r="J128" s="213"/>
    </row>
    <row r="129" ht="12.75">
      <c r="J129" s="213"/>
    </row>
    <row r="130" ht="12.75">
      <c r="J130" s="213"/>
    </row>
    <row r="131" ht="12.75">
      <c r="J131" s="213"/>
    </row>
    <row r="132" ht="12.75">
      <c r="J132" s="213"/>
    </row>
    <row r="133" ht="12.75">
      <c r="J133" s="213"/>
    </row>
    <row r="134" ht="12.75">
      <c r="J134" s="213"/>
    </row>
    <row r="135" ht="12.75">
      <c r="J135" s="213"/>
    </row>
    <row r="136" ht="12.75">
      <c r="J136" s="213"/>
    </row>
    <row r="137" ht="12.75">
      <c r="J137" s="213"/>
    </row>
    <row r="138" ht="12.75">
      <c r="J138" s="213"/>
    </row>
    <row r="139" ht="12.75">
      <c r="J139" s="213"/>
    </row>
    <row r="140" ht="12.75">
      <c r="J140" s="213"/>
    </row>
    <row r="141" ht="12.75">
      <c r="J141" s="213"/>
    </row>
    <row r="142" ht="12.75">
      <c r="J142" s="213"/>
    </row>
    <row r="143" ht="12.75">
      <c r="J143" s="213"/>
    </row>
    <row r="144" ht="12.75">
      <c r="J144" s="213"/>
    </row>
    <row r="145" ht="12.75">
      <c r="J145" s="213"/>
    </row>
    <row r="146" ht="12.75">
      <c r="J146" s="213"/>
    </row>
    <row r="147" ht="12.75">
      <c r="J147" s="213"/>
    </row>
    <row r="148" ht="12.75">
      <c r="J148" s="213"/>
    </row>
    <row r="149" ht="12.75">
      <c r="J149" s="213"/>
    </row>
    <row r="150" ht="12.75">
      <c r="J150" s="213"/>
    </row>
    <row r="151" ht="12.75">
      <c r="J151" s="213"/>
    </row>
    <row r="152" ht="12.75">
      <c r="J152" s="213"/>
    </row>
    <row r="153" ht="12.75">
      <c r="J153" s="213"/>
    </row>
    <row r="154" ht="12.75">
      <c r="J154" s="213"/>
    </row>
    <row r="155" ht="12.75">
      <c r="J155" s="213"/>
    </row>
    <row r="156" ht="12.75">
      <c r="J156" s="213"/>
    </row>
    <row r="157" ht="12.75">
      <c r="J157" s="213"/>
    </row>
    <row r="158" ht="12.75">
      <c r="J158" s="213"/>
    </row>
    <row r="159" ht="12.75">
      <c r="J159" s="213"/>
    </row>
    <row r="160" ht="12.75">
      <c r="J160" s="213"/>
    </row>
    <row r="161" ht="12.75">
      <c r="J161" s="213"/>
    </row>
    <row r="162" ht="12.75">
      <c r="J162" s="213"/>
    </row>
    <row r="163" ht="12.75">
      <c r="J163" s="213"/>
    </row>
    <row r="164" ht="12.75">
      <c r="J164" s="213"/>
    </row>
    <row r="165" ht="12.75">
      <c r="J165" s="213"/>
    </row>
    <row r="166" ht="12.75">
      <c r="J166" s="213"/>
    </row>
    <row r="167" ht="12.75">
      <c r="J167" s="213"/>
    </row>
    <row r="168" ht="12.75">
      <c r="J168" s="213"/>
    </row>
    <row r="169" ht="12.75">
      <c r="J169" s="213"/>
    </row>
    <row r="170" ht="12.75">
      <c r="J170" s="213"/>
    </row>
    <row r="171" ht="12.75">
      <c r="J171" s="213"/>
    </row>
    <row r="172" ht="12.75">
      <c r="J172" s="213"/>
    </row>
    <row r="173" ht="12.75">
      <c r="J173" s="213"/>
    </row>
    <row r="174" ht="12.75">
      <c r="J174" s="213"/>
    </row>
    <row r="175" ht="12.75">
      <c r="J175" s="213"/>
    </row>
    <row r="176" ht="12.75">
      <c r="J176" s="213"/>
    </row>
    <row r="177" ht="12.75">
      <c r="J177" s="213"/>
    </row>
    <row r="178" ht="12.75">
      <c r="J178" s="213"/>
    </row>
    <row r="179" ht="12.75">
      <c r="J179" s="213"/>
    </row>
    <row r="180" ht="12.75">
      <c r="J180" s="213"/>
    </row>
    <row r="181" ht="12.75">
      <c r="J181" s="213"/>
    </row>
    <row r="182" ht="12.75">
      <c r="J182" s="213"/>
    </row>
    <row r="183" ht="12.75">
      <c r="J183" s="213"/>
    </row>
    <row r="184" ht="12.75">
      <c r="J184" s="213"/>
    </row>
    <row r="185" ht="12.75">
      <c r="J185" s="213"/>
    </row>
    <row r="186" ht="12.75">
      <c r="J186" s="213"/>
    </row>
    <row r="187" ht="12.75">
      <c r="J187" s="213"/>
    </row>
    <row r="188" ht="12.75">
      <c r="J188" s="213"/>
    </row>
    <row r="189" ht="12.75">
      <c r="J189" s="213"/>
    </row>
    <row r="190" ht="12.75">
      <c r="J190" s="213"/>
    </row>
    <row r="191" ht="12.75">
      <c r="J191" s="213"/>
    </row>
    <row r="192" ht="12.75">
      <c r="J192" s="213"/>
    </row>
    <row r="193" ht="12.75">
      <c r="J193" s="213"/>
    </row>
    <row r="194" ht="12.75">
      <c r="J194" s="213"/>
    </row>
    <row r="195" ht="12.75">
      <c r="J195" s="213"/>
    </row>
    <row r="196" ht="12.75">
      <c r="J196" s="213"/>
    </row>
    <row r="197" ht="12.75">
      <c r="J197" s="213"/>
    </row>
    <row r="198" ht="12.75">
      <c r="J198" s="213"/>
    </row>
    <row r="199" ht="12.75">
      <c r="J199" s="213"/>
    </row>
    <row r="200" ht="12.75">
      <c r="J200" s="213"/>
    </row>
    <row r="201" ht="12.75">
      <c r="J201" s="213"/>
    </row>
    <row r="202" ht="12.75">
      <c r="J202" s="213"/>
    </row>
    <row r="203" ht="12.75">
      <c r="J203" s="213"/>
    </row>
    <row r="204" ht="12.75">
      <c r="J204" s="213"/>
    </row>
    <row r="205" ht="12.75">
      <c r="J205" s="213"/>
    </row>
    <row r="206" ht="12.75">
      <c r="J206" s="213"/>
    </row>
    <row r="207" ht="12.75">
      <c r="J207" s="213"/>
    </row>
    <row r="208" ht="12.75">
      <c r="J208" s="213"/>
    </row>
    <row r="209" ht="12.75">
      <c r="J209" s="213"/>
    </row>
    <row r="210" ht="12.75">
      <c r="J210" s="213"/>
    </row>
    <row r="211" ht="12.75">
      <c r="J211" s="213"/>
    </row>
    <row r="212" ht="12.75">
      <c r="J212" s="213"/>
    </row>
    <row r="213" ht="12.75">
      <c r="J213" s="213"/>
    </row>
    <row r="214" ht="12.75">
      <c r="J214" s="213"/>
    </row>
    <row r="215" ht="12.75">
      <c r="J215" s="213"/>
    </row>
    <row r="216" ht="12.75">
      <c r="J216" s="213"/>
    </row>
    <row r="217" ht="12.75">
      <c r="J217" s="213"/>
    </row>
    <row r="218" ht="12.75">
      <c r="J218" s="213"/>
    </row>
    <row r="219" ht="12.75">
      <c r="J219" s="213"/>
    </row>
    <row r="220" ht="12.75">
      <c r="J220" s="213"/>
    </row>
    <row r="221" ht="12.75">
      <c r="J221" s="213"/>
    </row>
    <row r="222" ht="12.75">
      <c r="J222" s="213"/>
    </row>
    <row r="223" ht="12.75">
      <c r="J223" s="213"/>
    </row>
    <row r="224" ht="12.75">
      <c r="J224" s="213"/>
    </row>
    <row r="225" ht="12.75">
      <c r="J225" s="213"/>
    </row>
    <row r="226" ht="12.75">
      <c r="J226" s="213"/>
    </row>
    <row r="227" ht="12.75">
      <c r="J227" s="213"/>
    </row>
    <row r="228" ht="12.75">
      <c r="J228" s="213"/>
    </row>
    <row r="229" ht="12.75">
      <c r="J229" s="213"/>
    </row>
    <row r="230" ht="12.75">
      <c r="J230" s="213"/>
    </row>
    <row r="231" ht="12.75">
      <c r="J231" s="213"/>
    </row>
    <row r="232" ht="12.75">
      <c r="J232" s="213"/>
    </row>
    <row r="233" ht="12.75">
      <c r="J233" s="213"/>
    </row>
    <row r="234" ht="12.75">
      <c r="J234" s="213"/>
    </row>
    <row r="235" ht="12.75">
      <c r="J235" s="213"/>
    </row>
    <row r="236" ht="12.75">
      <c r="J236" s="213"/>
    </row>
    <row r="237" ht="12.75">
      <c r="J237" s="213"/>
    </row>
    <row r="238" ht="12.75">
      <c r="J238" s="213"/>
    </row>
    <row r="239" ht="12.75">
      <c r="J239" s="213"/>
    </row>
    <row r="240" ht="12.75">
      <c r="J240" s="213"/>
    </row>
    <row r="241" ht="12.75">
      <c r="J241" s="213"/>
    </row>
    <row r="242" ht="12.75">
      <c r="J242" s="213"/>
    </row>
    <row r="243" ht="12.75">
      <c r="J243" s="213"/>
    </row>
    <row r="244" ht="12.75">
      <c r="J244" s="213"/>
    </row>
    <row r="245" ht="12.75">
      <c r="J245" s="213"/>
    </row>
    <row r="246" ht="12.75">
      <c r="J246" s="213"/>
    </row>
    <row r="247" ht="12.75">
      <c r="J247" s="213"/>
    </row>
    <row r="248" ht="12.75">
      <c r="J248" s="213"/>
    </row>
    <row r="249" ht="12.75">
      <c r="J249" s="213"/>
    </row>
    <row r="250" ht="12.75">
      <c r="J250" s="213"/>
    </row>
    <row r="251" ht="12.75">
      <c r="J251" s="213"/>
    </row>
    <row r="252" ht="12.75">
      <c r="J252" s="213"/>
    </row>
    <row r="253" ht="12.75">
      <c r="J253" s="213"/>
    </row>
    <row r="254" ht="12.75">
      <c r="J254" s="213"/>
    </row>
    <row r="255" ht="12.75">
      <c r="J255" s="213"/>
    </row>
    <row r="256" ht="12.75">
      <c r="J256" s="213"/>
    </row>
    <row r="257" ht="12.75">
      <c r="J257" s="213"/>
    </row>
    <row r="258" ht="12.75">
      <c r="J258" s="213"/>
    </row>
    <row r="259" ht="12.75">
      <c r="J259" s="213"/>
    </row>
    <row r="260" ht="12.75">
      <c r="J260" s="213"/>
    </row>
    <row r="261" ht="12.75">
      <c r="J261" s="213"/>
    </row>
    <row r="262" ht="12.75">
      <c r="J262" s="213"/>
    </row>
    <row r="263" ht="12.75">
      <c r="J263" s="213"/>
    </row>
    <row r="264" ht="12.75">
      <c r="J264" s="213"/>
    </row>
    <row r="265" ht="12.75">
      <c r="J265" s="213"/>
    </row>
    <row r="266" ht="12.75">
      <c r="J266" s="213"/>
    </row>
    <row r="267" ht="12.75">
      <c r="J267" s="213"/>
    </row>
    <row r="268" ht="12.75">
      <c r="J268" s="213"/>
    </row>
    <row r="269" ht="12.75">
      <c r="J269" s="213"/>
    </row>
    <row r="270" ht="12.75">
      <c r="J270" s="213"/>
    </row>
    <row r="271" ht="12.75">
      <c r="J271" s="213"/>
    </row>
    <row r="272" ht="12.75">
      <c r="J272" s="213"/>
    </row>
    <row r="273" ht="12.75">
      <c r="J273" s="213"/>
    </row>
    <row r="274" ht="12.75">
      <c r="J274" s="213"/>
    </row>
    <row r="275" ht="12.75">
      <c r="J275" s="213"/>
    </row>
    <row r="276" ht="12.75">
      <c r="J276" s="213"/>
    </row>
    <row r="277" ht="12.75">
      <c r="J277" s="213"/>
    </row>
    <row r="278" ht="12.75">
      <c r="J278" s="213"/>
    </row>
    <row r="279" ht="12.75">
      <c r="J279" s="213"/>
    </row>
    <row r="280" ht="12.75">
      <c r="J280" s="213"/>
    </row>
    <row r="281" ht="12.75">
      <c r="J281" s="213"/>
    </row>
    <row r="282" ht="12.75">
      <c r="J282" s="213"/>
    </row>
    <row r="283" ht="12.75">
      <c r="J283" s="213"/>
    </row>
    <row r="284" ht="12.75">
      <c r="J284" s="213"/>
    </row>
    <row r="285" ht="12.75">
      <c r="J285" s="213"/>
    </row>
    <row r="286" ht="12.75">
      <c r="J286" s="213"/>
    </row>
    <row r="287" ht="12.75">
      <c r="J287" s="213"/>
    </row>
    <row r="288" ht="12.75">
      <c r="J288" s="213"/>
    </row>
    <row r="289" ht="12.75">
      <c r="J289" s="213"/>
    </row>
    <row r="290" ht="12.75">
      <c r="J290" s="213"/>
    </row>
    <row r="291" ht="12.75">
      <c r="J291" s="213"/>
    </row>
    <row r="292" ht="12.75">
      <c r="J292" s="213"/>
    </row>
    <row r="293" ht="12.75">
      <c r="J293" s="213"/>
    </row>
    <row r="294" ht="12.75">
      <c r="J294" s="213"/>
    </row>
    <row r="295" ht="12.75">
      <c r="J295" s="213"/>
    </row>
    <row r="296" ht="12.75">
      <c r="J296" s="213"/>
    </row>
    <row r="297" ht="12.75">
      <c r="J297" s="213"/>
    </row>
    <row r="298" ht="12.75">
      <c r="J298" s="213"/>
    </row>
    <row r="299" ht="12.75">
      <c r="J299" s="213"/>
    </row>
    <row r="300" ht="12.75">
      <c r="J300" s="213"/>
    </row>
    <row r="301" ht="12.75">
      <c r="J301" s="213"/>
    </row>
    <row r="302" ht="12.75">
      <c r="J302" s="213"/>
    </row>
    <row r="303" ht="12.75">
      <c r="J303" s="213"/>
    </row>
    <row r="304" ht="12.75">
      <c r="J304" s="213"/>
    </row>
    <row r="305" ht="12.75">
      <c r="J305" s="213"/>
    </row>
    <row r="306" ht="12.75">
      <c r="J306" s="213"/>
    </row>
    <row r="307" ht="12.75">
      <c r="J307" s="213"/>
    </row>
    <row r="308" ht="12.75">
      <c r="J308" s="213"/>
    </row>
    <row r="309" ht="12.75">
      <c r="J309" s="213"/>
    </row>
    <row r="310" ht="12.75">
      <c r="J310" s="213"/>
    </row>
    <row r="311" ht="12.75">
      <c r="J311" s="213"/>
    </row>
    <row r="312" ht="12.75">
      <c r="J312" s="213"/>
    </row>
    <row r="313" ht="12.75">
      <c r="J313" s="213"/>
    </row>
    <row r="314" ht="12.75">
      <c r="J314" s="213"/>
    </row>
    <row r="315" ht="12.75">
      <c r="J315" s="213"/>
    </row>
    <row r="316" ht="12.75">
      <c r="J316" s="213"/>
    </row>
    <row r="317" ht="12.75">
      <c r="J317" s="213"/>
    </row>
    <row r="318" ht="12.75">
      <c r="J318" s="213"/>
    </row>
    <row r="319" ht="12.75">
      <c r="J319" s="213"/>
    </row>
    <row r="320" ht="12.75">
      <c r="J320" s="213"/>
    </row>
    <row r="321" ht="12.75">
      <c r="J321" s="213"/>
    </row>
    <row r="322" ht="12.75">
      <c r="J322" s="213"/>
    </row>
    <row r="323" ht="12.75">
      <c r="J323" s="213"/>
    </row>
    <row r="324" ht="12.75">
      <c r="J324" s="213"/>
    </row>
    <row r="325" ht="12.75">
      <c r="J325" s="213"/>
    </row>
    <row r="326" ht="12.75">
      <c r="J326" s="213"/>
    </row>
    <row r="327" ht="12.75">
      <c r="J327" s="213"/>
    </row>
    <row r="328" ht="12.75">
      <c r="J328" s="213"/>
    </row>
    <row r="329" ht="12.75">
      <c r="J329" s="213"/>
    </row>
    <row r="330" ht="12.75">
      <c r="J330" s="213"/>
    </row>
    <row r="331" ht="12.75">
      <c r="J331" s="213"/>
    </row>
    <row r="332" ht="12.75">
      <c r="J332" s="213"/>
    </row>
    <row r="333" ht="12.75">
      <c r="J333" s="213"/>
    </row>
    <row r="334" ht="12.75">
      <c r="J334" s="213"/>
    </row>
    <row r="335" ht="12.75">
      <c r="J335" s="213"/>
    </row>
    <row r="336" ht="12.75">
      <c r="J336" s="213"/>
    </row>
    <row r="337" ht="12.75">
      <c r="J337" s="213"/>
    </row>
    <row r="338" ht="12.75">
      <c r="J338" s="213"/>
    </row>
    <row r="339" ht="12.75">
      <c r="J339" s="213"/>
    </row>
    <row r="340" ht="12.75">
      <c r="J340" s="213"/>
    </row>
  </sheetData>
  <sheetProtection password="CAF5" sheet="1"/>
  <mergeCells count="9">
    <mergeCell ref="B5:K5"/>
    <mergeCell ref="I7:I9"/>
    <mergeCell ref="J7:J9"/>
    <mergeCell ref="A1:J1"/>
    <mergeCell ref="B6:C6"/>
    <mergeCell ref="E6:G6"/>
    <mergeCell ref="G7:G9"/>
    <mergeCell ref="A3:J3"/>
    <mergeCell ref="I6:K6"/>
  </mergeCells>
  <printOptions horizontalCentered="1"/>
  <pageMargins left="0.68" right="0.61" top="0.83" bottom="1" header="0.67" footer="0.5"/>
  <pageSetup fitToHeight="1" fitToWidth="1" horizontalDpi="600" verticalDpi="600" orientation="landscape" scale="94" r:id="rId1"/>
  <headerFooter alignWithMargins="0">
    <oddFooter>&amp;L&amp;"Arial,Italic"&amp;9MSDE-DBS 10 / 2008&amp;C- 8 -&amp;R&amp;"Arial,Italic"&amp;9Selected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B13">
      <selection activeCell="D22" sqref="D22"/>
    </sheetView>
  </sheetViews>
  <sheetFormatPr defaultColWidth="9.140625" defaultRowHeight="12.75"/>
  <cols>
    <col min="1" max="3" width="14.140625" style="0" customWidth="1"/>
    <col min="4" max="4" width="14.8515625" style="0" customWidth="1"/>
    <col min="5" max="5" width="12.57421875" style="124" customWidth="1"/>
    <col min="6" max="6" width="13.28125" style="124" customWidth="1"/>
    <col min="7" max="7" width="14.00390625" style="124" customWidth="1"/>
    <col min="8" max="8" width="12.140625" style="0" customWidth="1"/>
    <col min="9" max="9" width="11.8515625" style="0" customWidth="1"/>
    <col min="10" max="10" width="11.28125" style="0" bestFit="1" customWidth="1"/>
  </cols>
  <sheetData>
    <row r="1" spans="1:10" ht="12.75">
      <c r="A1" s="411" t="s">
        <v>128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6" ht="12.75">
      <c r="A2" s="20"/>
      <c r="B2" s="20"/>
      <c r="C2" s="20"/>
      <c r="D2" s="20"/>
      <c r="E2" s="262"/>
      <c r="F2" s="262"/>
    </row>
    <row r="3" spans="1:10" s="62" customFormat="1" ht="12.75">
      <c r="A3" s="392" t="s">
        <v>224</v>
      </c>
      <c r="B3" s="392"/>
      <c r="C3" s="392"/>
      <c r="D3" s="392"/>
      <c r="E3" s="392"/>
      <c r="F3" s="392"/>
      <c r="G3" s="392"/>
      <c r="H3" s="392"/>
      <c r="I3" s="392"/>
      <c r="J3" s="392"/>
    </row>
    <row r="4" spans="1:10" ht="13.5" thickBot="1">
      <c r="A4" s="12"/>
      <c r="B4" s="12"/>
      <c r="C4" s="12"/>
      <c r="D4" s="12"/>
      <c r="E4" s="260"/>
      <c r="F4" s="260"/>
      <c r="G4" s="260"/>
      <c r="H4" s="260"/>
      <c r="I4" s="260"/>
      <c r="J4" s="260"/>
    </row>
    <row r="5" spans="1:10" ht="15" customHeight="1" thickTop="1">
      <c r="A5" s="388" t="s">
        <v>51</v>
      </c>
      <c r="B5" s="388"/>
      <c r="C5" s="388"/>
      <c r="D5" s="388"/>
      <c r="E5" s="388"/>
      <c r="F5" s="388"/>
      <c r="G5" s="388"/>
      <c r="H5" s="389"/>
      <c r="I5" s="389"/>
      <c r="J5" s="389"/>
    </row>
    <row r="6" spans="1:31" ht="12.75">
      <c r="A6" s="390" t="s">
        <v>133</v>
      </c>
      <c r="B6" s="390"/>
      <c r="C6" s="390"/>
      <c r="D6" s="390"/>
      <c r="E6" s="391"/>
      <c r="F6" s="391"/>
      <c r="G6" s="391"/>
      <c r="H6" s="391"/>
      <c r="I6" s="391"/>
      <c r="J6" s="39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2" ht="12.75" customHeight="1" thickBot="1">
      <c r="A7" s="433" t="s">
        <v>187</v>
      </c>
      <c r="B7" s="239"/>
      <c r="C7" s="430" t="s">
        <v>207</v>
      </c>
      <c r="D7" s="213"/>
      <c r="E7" s="430" t="s">
        <v>185</v>
      </c>
      <c r="F7" s="430" t="s">
        <v>189</v>
      </c>
      <c r="G7" s="430" t="s">
        <v>208</v>
      </c>
      <c r="H7" s="387" t="s">
        <v>135</v>
      </c>
      <c r="I7" s="387"/>
      <c r="J7" s="387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75">
      <c r="A8" s="434"/>
      <c r="B8" s="200" t="s">
        <v>32</v>
      </c>
      <c r="C8" s="397"/>
      <c r="D8" s="334"/>
      <c r="E8" s="397"/>
      <c r="F8" s="397"/>
      <c r="G8" s="396"/>
      <c r="H8" s="437" t="s">
        <v>25</v>
      </c>
      <c r="I8" s="436" t="s">
        <v>186</v>
      </c>
      <c r="J8" s="43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10" ht="12.75" customHeight="1">
      <c r="A9" s="434"/>
      <c r="B9" s="200" t="s">
        <v>33</v>
      </c>
      <c r="C9" s="397"/>
      <c r="D9" s="243" t="s">
        <v>38</v>
      </c>
      <c r="E9" s="397"/>
      <c r="F9" s="397"/>
      <c r="G9" s="397"/>
      <c r="H9" s="438"/>
      <c r="I9" s="334" t="s">
        <v>136</v>
      </c>
      <c r="J9" s="334" t="s">
        <v>72</v>
      </c>
    </row>
    <row r="10" spans="1:10" ht="13.5" thickBot="1">
      <c r="A10" s="435"/>
      <c r="B10" s="264" t="s">
        <v>34</v>
      </c>
      <c r="C10" s="432"/>
      <c r="D10" s="202" t="s">
        <v>39</v>
      </c>
      <c r="E10" s="432"/>
      <c r="F10" s="432"/>
      <c r="G10" s="432"/>
      <c r="H10" s="439"/>
      <c r="I10" s="202" t="s">
        <v>137</v>
      </c>
      <c r="J10" s="202" t="s">
        <v>138</v>
      </c>
    </row>
    <row r="11" spans="1:10" s="48" customFormat="1" ht="12.75">
      <c r="A11" s="54" t="s">
        <v>0</v>
      </c>
      <c r="B11" s="335">
        <f aca="true" t="shared" si="0" ref="B11:J11">SUM(B13:B40)</f>
        <v>331737.15</v>
      </c>
      <c r="C11" s="335">
        <f t="shared" si="0"/>
        <v>1079983.36</v>
      </c>
      <c r="D11" s="335">
        <f t="shared" si="0"/>
        <v>19263628.880000003</v>
      </c>
      <c r="E11" s="335">
        <f t="shared" si="0"/>
        <v>150801.36</v>
      </c>
      <c r="F11" s="335">
        <f t="shared" si="0"/>
        <v>8752182.889999999</v>
      </c>
      <c r="G11" s="335">
        <f t="shared" si="0"/>
        <v>2485607.3799999994</v>
      </c>
      <c r="H11" s="335">
        <f t="shared" si="0"/>
        <v>159555</v>
      </c>
      <c r="I11" s="335">
        <f t="shared" si="0"/>
        <v>133171.25</v>
      </c>
      <c r="J11" s="335">
        <f t="shared" si="0"/>
        <v>2112274.79</v>
      </c>
    </row>
    <row r="12" spans="1:10" ht="12.75">
      <c r="A12" s="3"/>
      <c r="B12" s="336"/>
      <c r="C12" s="213"/>
      <c r="D12" s="213"/>
      <c r="E12" s="213"/>
      <c r="F12" s="213"/>
      <c r="G12" s="213"/>
      <c r="H12" s="213"/>
      <c r="I12" s="213"/>
      <c r="J12" s="213"/>
    </row>
    <row r="13" spans="1:11" ht="12.75">
      <c r="A13" t="s">
        <v>1</v>
      </c>
      <c r="B13" s="324">
        <v>32771.23</v>
      </c>
      <c r="C13" s="324">
        <v>20267.54</v>
      </c>
      <c r="D13" s="98">
        <v>348315</v>
      </c>
      <c r="E13" s="324">
        <v>3468.29</v>
      </c>
      <c r="F13" s="324">
        <v>68436.5</v>
      </c>
      <c r="G13" s="213">
        <v>127859.6</v>
      </c>
      <c r="H13" s="219">
        <v>37396</v>
      </c>
      <c r="I13" s="219">
        <v>14662</v>
      </c>
      <c r="J13" s="219">
        <v>121200</v>
      </c>
      <c r="K13" s="43"/>
    </row>
    <row r="14" spans="1:10" ht="12.75">
      <c r="A14" t="s">
        <v>2</v>
      </c>
      <c r="B14" s="221">
        <v>0</v>
      </c>
      <c r="C14" s="324">
        <v>53736.22</v>
      </c>
      <c r="D14" s="324">
        <v>1295265</v>
      </c>
      <c r="E14" s="324">
        <v>11805.69</v>
      </c>
      <c r="F14" s="98">
        <v>272909.17</v>
      </c>
      <c r="G14" s="213">
        <v>679265.47</v>
      </c>
      <c r="H14" s="213">
        <v>15549</v>
      </c>
      <c r="I14" s="213">
        <v>35529</v>
      </c>
      <c r="J14" s="213">
        <v>135463</v>
      </c>
    </row>
    <row r="15" spans="1:10" ht="12.75">
      <c r="A15" t="s">
        <v>3</v>
      </c>
      <c r="B15" s="221">
        <v>0</v>
      </c>
      <c r="C15" s="320">
        <v>98739.22</v>
      </c>
      <c r="D15" s="324">
        <v>4134779</v>
      </c>
      <c r="E15" s="324">
        <v>16715.55</v>
      </c>
      <c r="F15" s="324">
        <v>3334048.02</v>
      </c>
      <c r="G15" s="213">
        <v>0</v>
      </c>
      <c r="H15" s="213">
        <v>0</v>
      </c>
      <c r="I15" s="213">
        <v>0</v>
      </c>
      <c r="J15" s="213">
        <v>0</v>
      </c>
    </row>
    <row r="16" spans="1:10" ht="12.75">
      <c r="A16" t="s">
        <v>4</v>
      </c>
      <c r="B16" s="221">
        <v>0</v>
      </c>
      <c r="C16" s="324">
        <v>99988.35</v>
      </c>
      <c r="D16" s="98">
        <v>1189770</v>
      </c>
      <c r="E16" s="324">
        <v>8047.36</v>
      </c>
      <c r="F16" s="324">
        <v>686733.88</v>
      </c>
      <c r="G16" s="213">
        <v>80451.57</v>
      </c>
      <c r="H16" s="219">
        <v>36028</v>
      </c>
      <c r="I16" s="219">
        <v>0</v>
      </c>
      <c r="J16" s="213">
        <v>256844</v>
      </c>
    </row>
    <row r="17" spans="1:10" ht="12.75">
      <c r="A17" t="s">
        <v>5</v>
      </c>
      <c r="B17" s="324">
        <v>24464.1</v>
      </c>
      <c r="C17" s="324">
        <v>36133.92</v>
      </c>
      <c r="D17" s="98">
        <v>453810</v>
      </c>
      <c r="E17" s="219">
        <v>8174.96</v>
      </c>
      <c r="F17" s="213">
        <v>0</v>
      </c>
      <c r="G17" s="213">
        <v>0</v>
      </c>
      <c r="H17" s="219">
        <v>4510</v>
      </c>
      <c r="I17" s="219">
        <v>12249</v>
      </c>
      <c r="J17" s="213">
        <v>139831</v>
      </c>
    </row>
    <row r="18" spans="2:10" ht="12.75">
      <c r="B18" s="324"/>
      <c r="C18" s="324"/>
      <c r="D18" s="324"/>
      <c r="E18" s="324"/>
      <c r="F18" s="324"/>
      <c r="G18" s="213"/>
      <c r="H18" s="213"/>
      <c r="I18" s="213"/>
      <c r="J18" s="213"/>
    </row>
    <row r="19" spans="1:10" ht="12.75">
      <c r="A19" t="s">
        <v>6</v>
      </c>
      <c r="B19" s="221">
        <v>0</v>
      </c>
      <c r="C19" s="324">
        <v>22430.56</v>
      </c>
      <c r="D19" s="324">
        <v>351484</v>
      </c>
      <c r="E19" s="324">
        <v>7594</v>
      </c>
      <c r="F19" s="324">
        <v>32992.06</v>
      </c>
      <c r="G19" s="213">
        <v>177101.75</v>
      </c>
      <c r="H19" s="213">
        <v>0</v>
      </c>
      <c r="I19" s="213">
        <v>0</v>
      </c>
      <c r="J19" s="213">
        <v>0</v>
      </c>
    </row>
    <row r="20" spans="1:10" ht="12.75">
      <c r="A20" t="s">
        <v>7</v>
      </c>
      <c r="B20" s="221">
        <v>0</v>
      </c>
      <c r="C20" s="324">
        <v>47834.43</v>
      </c>
      <c r="D20" s="324">
        <v>171658</v>
      </c>
      <c r="E20" s="98">
        <v>6994.39</v>
      </c>
      <c r="F20" s="213">
        <v>0</v>
      </c>
      <c r="G20" s="219">
        <v>0</v>
      </c>
      <c r="H20" s="219">
        <v>24512</v>
      </c>
      <c r="I20" s="219">
        <v>13018</v>
      </c>
      <c r="J20" s="219">
        <v>168965</v>
      </c>
    </row>
    <row r="21" spans="1:10" ht="12.75">
      <c r="A21" t="s">
        <v>8</v>
      </c>
      <c r="B21" s="98">
        <v>50955.04</v>
      </c>
      <c r="C21" s="324">
        <v>32562.74</v>
      </c>
      <c r="D21" s="324">
        <v>809625</v>
      </c>
      <c r="E21" s="324">
        <v>4240.73</v>
      </c>
      <c r="F21" s="324">
        <v>50056.4</v>
      </c>
      <c r="G21" s="213">
        <v>0</v>
      </c>
      <c r="H21" s="213">
        <v>0</v>
      </c>
      <c r="I21" s="213">
        <v>0</v>
      </c>
      <c r="J21" s="213">
        <v>0</v>
      </c>
    </row>
    <row r="22" spans="1:10" ht="12.75">
      <c r="A22" t="s">
        <v>9</v>
      </c>
      <c r="B22" s="221">
        <v>0</v>
      </c>
      <c r="C22" s="324">
        <v>55194.09</v>
      </c>
      <c r="D22" s="324">
        <v>1069945</v>
      </c>
      <c r="E22" s="324">
        <v>11157.87</v>
      </c>
      <c r="F22" s="324">
        <v>10106.52</v>
      </c>
      <c r="G22" s="213">
        <v>73536.68</v>
      </c>
      <c r="H22" s="219">
        <v>12255</v>
      </c>
      <c r="I22" s="219">
        <v>28992</v>
      </c>
      <c r="J22" s="219">
        <v>219908</v>
      </c>
    </row>
    <row r="23" spans="1:10" ht="12.75">
      <c r="A23" t="s">
        <v>10</v>
      </c>
      <c r="B23" s="221">
        <v>0</v>
      </c>
      <c r="C23" s="324">
        <v>22530.44</v>
      </c>
      <c r="D23" s="324">
        <v>411978</v>
      </c>
      <c r="E23" s="213">
        <v>0</v>
      </c>
      <c r="F23" s="324">
        <v>251336.79</v>
      </c>
      <c r="G23" s="219">
        <v>66673.72</v>
      </c>
      <c r="H23" s="219">
        <v>3675</v>
      </c>
      <c r="I23" s="213">
        <v>2161</v>
      </c>
      <c r="J23" s="219">
        <v>121084</v>
      </c>
    </row>
    <row r="24" spans="2:10" ht="12.75">
      <c r="B24" s="324"/>
      <c r="C24" s="324"/>
      <c r="D24" s="324"/>
      <c r="E24" s="324"/>
      <c r="F24" s="324"/>
      <c r="G24" s="213"/>
      <c r="H24" s="213"/>
      <c r="I24" s="213"/>
      <c r="J24" s="213"/>
    </row>
    <row r="25" spans="1:10" ht="12.75">
      <c r="A25" t="s">
        <v>11</v>
      </c>
      <c r="B25" s="324">
        <v>6641.51</v>
      </c>
      <c r="C25" s="324">
        <v>50311.8</v>
      </c>
      <c r="D25" s="324">
        <v>812125</v>
      </c>
      <c r="E25" s="324">
        <v>7780</v>
      </c>
      <c r="F25" s="324">
        <v>164485.53</v>
      </c>
      <c r="G25" s="213">
        <v>0</v>
      </c>
      <c r="H25" s="219">
        <v>11082</v>
      </c>
      <c r="I25" s="219">
        <v>10857</v>
      </c>
      <c r="J25" s="219">
        <v>226308</v>
      </c>
    </row>
    <row r="26" spans="1:10" ht="12.75">
      <c r="A26" t="s">
        <v>12</v>
      </c>
      <c r="B26" s="221">
        <v>0</v>
      </c>
      <c r="C26" s="324">
        <v>17415.3</v>
      </c>
      <c r="D26" s="324">
        <v>311484</v>
      </c>
      <c r="E26" s="324">
        <v>3713.75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</row>
    <row r="27" spans="1:10" ht="12.75">
      <c r="A27" t="s">
        <v>13</v>
      </c>
      <c r="B27" s="324">
        <v>12337</v>
      </c>
      <c r="C27" s="324">
        <v>42371.26</v>
      </c>
      <c r="D27" s="324">
        <v>850293</v>
      </c>
      <c r="E27" s="324">
        <v>8837.56</v>
      </c>
      <c r="F27" s="324">
        <v>117546.02</v>
      </c>
      <c r="G27" s="213">
        <v>0</v>
      </c>
      <c r="H27" s="213">
        <v>0</v>
      </c>
      <c r="I27" s="213">
        <v>0</v>
      </c>
      <c r="J27" s="213">
        <v>0</v>
      </c>
    </row>
    <row r="28" spans="1:10" ht="12.75">
      <c r="A28" t="s">
        <v>14</v>
      </c>
      <c r="B28" s="324">
        <v>64904.73</v>
      </c>
      <c r="C28" s="324">
        <v>1500</v>
      </c>
      <c r="D28" s="324">
        <v>256749.88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</row>
    <row r="29" spans="1:10" ht="12.75">
      <c r="A29" t="s">
        <v>15</v>
      </c>
      <c r="B29" s="221">
        <v>0</v>
      </c>
      <c r="C29" s="324">
        <v>23050</v>
      </c>
      <c r="D29" s="324">
        <v>279652</v>
      </c>
      <c r="E29" s="324">
        <v>13594</v>
      </c>
      <c r="F29" s="324">
        <v>121253.35</v>
      </c>
      <c r="G29" s="213">
        <v>0</v>
      </c>
      <c r="H29" s="219">
        <v>2208</v>
      </c>
      <c r="I29" s="213">
        <v>0</v>
      </c>
      <c r="J29" s="219">
        <v>61882</v>
      </c>
    </row>
    <row r="30" spans="2:10" ht="12.75">
      <c r="B30" s="324"/>
      <c r="C30" s="324"/>
      <c r="D30" s="324"/>
      <c r="E30" s="324"/>
      <c r="F30" s="324"/>
      <c r="G30" s="213"/>
      <c r="H30" s="213"/>
      <c r="I30" s="213"/>
      <c r="J30" s="213"/>
    </row>
    <row r="31" spans="1:10" ht="12.75">
      <c r="A31" t="s">
        <v>16</v>
      </c>
      <c r="B31" s="221">
        <v>0</v>
      </c>
      <c r="C31" s="324">
        <v>127294.44</v>
      </c>
      <c r="D31" s="324">
        <v>1265633</v>
      </c>
      <c r="E31" s="324">
        <v>9565.52</v>
      </c>
      <c r="F31" s="324">
        <v>632244.08</v>
      </c>
      <c r="G31" s="213">
        <v>375181.87</v>
      </c>
      <c r="H31" s="219">
        <v>0</v>
      </c>
      <c r="I31" s="213">
        <v>0</v>
      </c>
      <c r="J31" s="213">
        <v>0</v>
      </c>
    </row>
    <row r="32" spans="1:10" ht="12.75">
      <c r="A32" t="s">
        <v>17</v>
      </c>
      <c r="B32" s="221">
        <v>0</v>
      </c>
      <c r="C32" s="324">
        <v>144779.03</v>
      </c>
      <c r="D32" s="324">
        <v>1731575</v>
      </c>
      <c r="E32" s="324">
        <v>1304.48</v>
      </c>
      <c r="F32" s="324">
        <v>2690915.47</v>
      </c>
      <c r="G32" s="213">
        <v>807792.38</v>
      </c>
      <c r="H32" s="219">
        <v>0</v>
      </c>
      <c r="I32" s="219">
        <v>10132.63</v>
      </c>
      <c r="J32" s="219">
        <v>101042.94</v>
      </c>
    </row>
    <row r="33" spans="1:10" ht="12.75">
      <c r="A33" t="s">
        <v>18</v>
      </c>
      <c r="B33" s="221">
        <v>0</v>
      </c>
      <c r="C33" s="324">
        <v>16831.35</v>
      </c>
      <c r="D33" s="324">
        <v>350815</v>
      </c>
      <c r="E33" s="324">
        <v>4283.46</v>
      </c>
      <c r="F33" s="213">
        <v>0</v>
      </c>
      <c r="G33" s="213">
        <v>0</v>
      </c>
      <c r="H33" s="219">
        <v>1283</v>
      </c>
      <c r="I33" s="219">
        <v>0</v>
      </c>
      <c r="J33" s="219">
        <v>70101.14</v>
      </c>
    </row>
    <row r="34" spans="1:10" ht="12.75">
      <c r="A34" t="s">
        <v>19</v>
      </c>
      <c r="B34" s="221">
        <v>0</v>
      </c>
      <c r="C34" s="324">
        <v>45348.99</v>
      </c>
      <c r="D34" s="324">
        <v>873288</v>
      </c>
      <c r="E34" s="324">
        <v>7676.85</v>
      </c>
      <c r="F34" s="324">
        <v>147161.51</v>
      </c>
      <c r="G34" s="213">
        <v>0</v>
      </c>
      <c r="H34" s="219">
        <v>3341</v>
      </c>
      <c r="I34" s="213">
        <v>0</v>
      </c>
      <c r="J34" s="219">
        <v>163009</v>
      </c>
    </row>
    <row r="35" spans="1:10" ht="12.75">
      <c r="A35" t="s">
        <v>20</v>
      </c>
      <c r="B35" s="221">
        <v>0</v>
      </c>
      <c r="C35" s="324">
        <v>20287.19</v>
      </c>
      <c r="D35" s="324">
        <v>309652</v>
      </c>
      <c r="E35" s="324">
        <v>4022.28</v>
      </c>
      <c r="F35" s="324">
        <v>29854.78</v>
      </c>
      <c r="G35" s="213">
        <v>0</v>
      </c>
      <c r="H35" s="219">
        <v>1199</v>
      </c>
      <c r="I35" s="213">
        <v>1356.62</v>
      </c>
      <c r="J35" s="213">
        <v>98076.71</v>
      </c>
    </row>
    <row r="36" spans="2:10" ht="12.75">
      <c r="B36" s="324"/>
      <c r="C36" s="324"/>
      <c r="D36" s="324"/>
      <c r="E36" s="324"/>
      <c r="F36" s="324"/>
      <c r="G36" s="213"/>
      <c r="H36" s="213"/>
      <c r="I36" s="213"/>
      <c r="J36" s="213"/>
    </row>
    <row r="37" spans="1:10" ht="12.75">
      <c r="A37" t="s">
        <v>21</v>
      </c>
      <c r="B37" s="221">
        <v>0</v>
      </c>
      <c r="C37" s="324">
        <v>15437.18</v>
      </c>
      <c r="D37" s="324">
        <v>314652</v>
      </c>
      <c r="E37" s="324">
        <v>6986.05</v>
      </c>
      <c r="F37" s="324">
        <v>60200.71</v>
      </c>
      <c r="G37" s="213">
        <v>0</v>
      </c>
      <c r="H37" s="213">
        <v>0</v>
      </c>
      <c r="I37" s="213">
        <v>0</v>
      </c>
      <c r="J37" s="213">
        <v>0</v>
      </c>
    </row>
    <row r="38" spans="1:10" ht="12.75">
      <c r="A38" t="s">
        <v>22</v>
      </c>
      <c r="B38" s="324">
        <v>37734.2</v>
      </c>
      <c r="C38" s="324">
        <v>40321.15</v>
      </c>
      <c r="D38" s="324">
        <v>598636</v>
      </c>
      <c r="E38" s="324">
        <v>403.37</v>
      </c>
      <c r="F38" s="213">
        <v>0</v>
      </c>
      <c r="G38" s="213">
        <v>97744.34</v>
      </c>
      <c r="H38" s="219">
        <v>0</v>
      </c>
      <c r="I38" s="219">
        <v>0</v>
      </c>
      <c r="J38" s="219">
        <v>0</v>
      </c>
    </row>
    <row r="39" spans="1:10" ht="12.75">
      <c r="A39" t="s">
        <v>23</v>
      </c>
      <c r="B39" s="324">
        <v>90825.34</v>
      </c>
      <c r="C39" s="324">
        <v>35091.92</v>
      </c>
      <c r="D39" s="324">
        <v>790293</v>
      </c>
      <c r="E39" s="324">
        <v>2035.2</v>
      </c>
      <c r="F39" s="324">
        <v>81902.1</v>
      </c>
      <c r="G39" s="219">
        <v>0</v>
      </c>
      <c r="H39" s="213">
        <v>4357</v>
      </c>
      <c r="I39" s="213">
        <v>4214</v>
      </c>
      <c r="J39" s="213">
        <v>156206</v>
      </c>
    </row>
    <row r="40" spans="1:10" ht="12.75">
      <c r="A40" s="13" t="s">
        <v>24</v>
      </c>
      <c r="B40" s="308">
        <v>11104</v>
      </c>
      <c r="C40" s="308">
        <v>10526.24</v>
      </c>
      <c r="D40" s="308">
        <v>282152</v>
      </c>
      <c r="E40" s="308">
        <v>2400</v>
      </c>
      <c r="F40" s="224">
        <v>0</v>
      </c>
      <c r="G40" s="224">
        <v>0</v>
      </c>
      <c r="H40" s="220">
        <v>2160</v>
      </c>
      <c r="I40" s="224">
        <v>0</v>
      </c>
      <c r="J40" s="224">
        <v>72354</v>
      </c>
    </row>
    <row r="41" ht="12.75">
      <c r="D41" s="337"/>
    </row>
  </sheetData>
  <sheetProtection password="CAF5" sheet="1" objects="1" scenarios="1"/>
  <mergeCells count="12">
    <mergeCell ref="A7:A10"/>
    <mergeCell ref="E7:E10"/>
    <mergeCell ref="F7:F10"/>
    <mergeCell ref="H7:J7"/>
    <mergeCell ref="C7:C10"/>
    <mergeCell ref="I8:J8"/>
    <mergeCell ref="H8:H10"/>
    <mergeCell ref="G7:G10"/>
    <mergeCell ref="A5:J5"/>
    <mergeCell ref="A6:J6"/>
    <mergeCell ref="A1:J1"/>
    <mergeCell ref="A3:J3"/>
  </mergeCells>
  <printOptions horizontalCentered="1"/>
  <pageMargins left="0.44" right="0.37" top="0.83" bottom="1" header="0.67" footer="0.5"/>
  <pageSetup fitToHeight="1" fitToWidth="1" horizontalDpi="600" verticalDpi="600" orientation="landscape" scale="95" r:id="rId1"/>
  <headerFooter alignWithMargins="0">
    <oddFooter>&amp;L&amp;"Arial,Italic"&amp;9MSDE-DBS  10 / 2008&amp;C- 9 -&amp;R&amp;"Arial,Italic"&amp;9Selected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2007 PART 1 Release</dc:title>
  <dc:subject>10-30-2008 update</dc:subject>
  <dc:creator>Ron Ieng</dc:creator>
  <cp:keywords/>
  <dc:description/>
  <cp:lastModifiedBy>rieng</cp:lastModifiedBy>
  <cp:lastPrinted>2008-11-14T22:29:21Z</cp:lastPrinted>
  <dcterms:created xsi:type="dcterms:W3CDTF">1998-03-02T22:29:13Z</dcterms:created>
  <dcterms:modified xsi:type="dcterms:W3CDTF">2009-01-21T23:37:47Z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159600.000000000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