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40" windowWidth="12120" windowHeight="9090" tabRatio="813" firstSheet="2" activeTab="9"/>
  </bookViews>
  <sheets>
    <sheet name="table 1" sheetId="1" r:id="rId1"/>
    <sheet name="table 2a" sheetId="2" r:id="rId2"/>
    <sheet name="table3" sheetId="3" r:id="rId3"/>
    <sheet name="table4" sheetId="4" r:id="rId4"/>
    <sheet name="table5" sheetId="5" r:id="rId5"/>
    <sheet name="table 6" sheetId="6" r:id="rId6"/>
    <sheet name="state1" sheetId="7" r:id="rId7"/>
    <sheet name="state2" sheetId="8" r:id="rId8"/>
    <sheet name="state3" sheetId="9" r:id="rId9"/>
    <sheet name="state4" sheetId="10" r:id="rId10"/>
    <sheet name="state5" sheetId="11" r:id="rId11"/>
    <sheet name="fed1" sheetId="12" r:id="rId12"/>
    <sheet name="fed2" sheetId="13" r:id="rId13"/>
    <sheet name="fed3" sheetId="14" r:id="rId14"/>
    <sheet name="fed4" sheetId="15" r:id="rId15"/>
    <sheet name="fed5" sheetId="16" r:id="rId16"/>
    <sheet name="table9" sheetId="17" r:id="rId17"/>
    <sheet name="table 10" sheetId="18" r:id="rId18"/>
    <sheet name="table11" sheetId="19" r:id="rId19"/>
    <sheet name="table12" sheetId="20" r:id="rId20"/>
    <sheet name="Table 12 Continued" sheetId="21" r:id="rId21"/>
  </sheets>
  <definedNames>
    <definedName name="_xlnm.Print_Area" localSheetId="6">'state1'!$A$1:$I$40</definedName>
    <definedName name="_xlnm.Print_Area" localSheetId="5">'table 6'!$A$1:$P$43</definedName>
    <definedName name="_xlnm.Print_Area" localSheetId="18">'table11'!$A$1:$F$45</definedName>
    <definedName name="_xlnm.Print_Area" localSheetId="2">'table3'!$A$1:$L$42</definedName>
    <definedName name="_xlnm.Print_Area" localSheetId="3">'table4'!$A$1:$K$39</definedName>
  </definedNames>
  <calcPr fullCalcOnLoad="1"/>
</workbook>
</file>

<file path=xl/comments13.xml><?xml version="1.0" encoding="utf-8"?>
<comments xmlns="http://schemas.openxmlformats.org/spreadsheetml/2006/main">
  <authors>
    <author>rieng</author>
  </authors>
  <commentList>
    <comment ref="D20" authorId="0">
      <text>
        <r>
          <rPr>
            <b/>
            <sz val="8"/>
            <rFont val="Tahoma"/>
            <family val="2"/>
          </rPr>
          <t>rieng:</t>
        </r>
        <r>
          <rPr>
            <sz val="8"/>
            <rFont val="Tahoma"/>
            <family val="2"/>
          </rPr>
          <t xml:space="preserve">
Ignore $143.15 LEA reported as negative revenue.</t>
        </r>
      </text>
    </comment>
  </commentList>
</comments>
</file>

<file path=xl/sharedStrings.xml><?xml version="1.0" encoding="utf-8"?>
<sst xmlns="http://schemas.openxmlformats.org/spreadsheetml/2006/main" count="1025" uniqueCount="300">
  <si>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</si>
  <si>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</si>
  <si>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</si>
  <si>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</si>
  <si>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</si>
  <si>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</si>
  <si>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</si>
  <si>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</si>
  <si>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</si>
  <si>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</si>
  <si>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</si>
  <si>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</si>
  <si>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</si>
  <si>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</si>
  <si>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</si>
  <si>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</si>
  <si>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</si>
  <si>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</si>
  <si>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</si>
  <si>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</si>
  <si>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</si>
  <si>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</si>
  <si>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</si>
  <si>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</si>
  <si>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</si>
  <si>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Formula</t>
  </si>
  <si>
    <t>Technology</t>
  </si>
  <si>
    <t>Care</t>
  </si>
  <si>
    <t>Nonpublic</t>
  </si>
  <si>
    <t>Placements</t>
  </si>
  <si>
    <t>Gifted</t>
  </si>
  <si>
    <t>and</t>
  </si>
  <si>
    <t>Talented</t>
  </si>
  <si>
    <t>Education</t>
  </si>
  <si>
    <t>School</t>
  </si>
  <si>
    <t>Community</t>
  </si>
  <si>
    <t>Other</t>
  </si>
  <si>
    <t>Food</t>
  </si>
  <si>
    <t>Service</t>
  </si>
  <si>
    <t>Construc-</t>
  </si>
  <si>
    <t>tion</t>
  </si>
  <si>
    <t>Debt</t>
  </si>
  <si>
    <t>Table 7</t>
  </si>
  <si>
    <t>Total</t>
  </si>
  <si>
    <t>State</t>
  </si>
  <si>
    <t>Funds</t>
  </si>
  <si>
    <t>Current Expense Fund</t>
  </si>
  <si>
    <t>Current Expense Fund (continued)</t>
  </si>
  <si>
    <t>Fund</t>
  </si>
  <si>
    <t>Current</t>
  </si>
  <si>
    <t>Expense</t>
  </si>
  <si>
    <t>Federal</t>
  </si>
  <si>
    <t>Miscellaneous</t>
  </si>
  <si>
    <t>Migrants</t>
  </si>
  <si>
    <t>Preschool</t>
  </si>
  <si>
    <t>Act</t>
  </si>
  <si>
    <t>Elementary and Secondary Education Act</t>
  </si>
  <si>
    <t>Concentration</t>
  </si>
  <si>
    <t>Expenses</t>
  </si>
  <si>
    <t>Even</t>
  </si>
  <si>
    <t>Start</t>
  </si>
  <si>
    <t>Program</t>
  </si>
  <si>
    <t>Basic and</t>
  </si>
  <si>
    <t>Grants</t>
  </si>
  <si>
    <t>Innovative</t>
  </si>
  <si>
    <t>Educational</t>
  </si>
  <si>
    <t>Strategies</t>
  </si>
  <si>
    <t>Literacy</t>
  </si>
  <si>
    <t>Services</t>
  </si>
  <si>
    <t>Individuals with Disabilities Act</t>
  </si>
  <si>
    <t>Basic</t>
  </si>
  <si>
    <t>Tech</t>
  </si>
  <si>
    <t>Prep</t>
  </si>
  <si>
    <t>Nutrition Act</t>
  </si>
  <si>
    <t>National</t>
  </si>
  <si>
    <t>Value of</t>
  </si>
  <si>
    <t>Commodities</t>
  </si>
  <si>
    <t>Food Service Programs</t>
  </si>
  <si>
    <t>Construction</t>
  </si>
  <si>
    <t>Lunch/Child</t>
  </si>
  <si>
    <t>Local</t>
  </si>
  <si>
    <t>Appropriation</t>
  </si>
  <si>
    <t>Non-</t>
  </si>
  <si>
    <t>Revenue</t>
  </si>
  <si>
    <t>revenue</t>
  </si>
  <si>
    <t>Percent from Each Source</t>
  </si>
  <si>
    <t>Revenue and</t>
  </si>
  <si>
    <t>Nonrevenue</t>
  </si>
  <si>
    <t>Table 1</t>
  </si>
  <si>
    <t>Table 2</t>
  </si>
  <si>
    <t>Table 4</t>
  </si>
  <si>
    <t>Table 5</t>
  </si>
  <si>
    <t>Table 6</t>
  </si>
  <si>
    <t>Children's</t>
  </si>
  <si>
    <t>Payments</t>
  </si>
  <si>
    <t>Sales</t>
  </si>
  <si>
    <t>Table 9</t>
  </si>
  <si>
    <t>State Share</t>
  </si>
  <si>
    <t>NOTE:  Audit adjustments are not included</t>
  </si>
  <si>
    <t>Table 10</t>
  </si>
  <si>
    <t>(B)</t>
  </si>
  <si>
    <t>(C)</t>
  </si>
  <si>
    <t>Assessed</t>
  </si>
  <si>
    <t>Valuation</t>
  </si>
  <si>
    <t>(Thousands)</t>
  </si>
  <si>
    <t>Number</t>
  </si>
  <si>
    <t>of Pupils</t>
  </si>
  <si>
    <t>per Pupil</t>
  </si>
  <si>
    <t>per Capita</t>
  </si>
  <si>
    <t>Table 12</t>
  </si>
  <si>
    <t>Table 11</t>
  </si>
  <si>
    <t>All</t>
  </si>
  <si>
    <t xml:space="preserve">Current </t>
  </si>
  <si>
    <t xml:space="preserve">                                         </t>
  </si>
  <si>
    <t>Table 3</t>
  </si>
  <si>
    <t>Cash</t>
  </si>
  <si>
    <t>Other*</t>
  </si>
  <si>
    <t xml:space="preserve">* Included are taxable income, real and public utility property assessments for state purposes, and 50% of personal property assessments for county purposes; public </t>
  </si>
  <si>
    <t xml:space="preserve">  utility shares and one-half semi-annual are excluded.</t>
  </si>
  <si>
    <t>Valuation for</t>
  </si>
  <si>
    <t>Local Purposes</t>
  </si>
  <si>
    <t>Expenses*</t>
  </si>
  <si>
    <t>Table 7 (continued)</t>
  </si>
  <si>
    <t>Table 8</t>
  </si>
  <si>
    <t>Table 8 (continued)</t>
  </si>
  <si>
    <t xml:space="preserve">Infants </t>
  </si>
  <si>
    <t>Toddlers</t>
  </si>
  <si>
    <t>Innovative Programs</t>
  </si>
  <si>
    <t>Schools</t>
  </si>
  <si>
    <t>Adult Education</t>
  </si>
  <si>
    <t>External</t>
  </si>
  <si>
    <t>Diploma</t>
  </si>
  <si>
    <t>Works</t>
  </si>
  <si>
    <t>Science/</t>
  </si>
  <si>
    <t>Math</t>
  </si>
  <si>
    <t>Near County</t>
  </si>
  <si>
    <t>Lines</t>
  </si>
  <si>
    <t>Agency</t>
  </si>
  <si>
    <t>(Excluding State-Paid Teachers' Retirement)</t>
  </si>
  <si>
    <t>Adult</t>
  </si>
  <si>
    <t xml:space="preserve">Indian </t>
  </si>
  <si>
    <t>Title III</t>
  </si>
  <si>
    <t>Title XIX</t>
  </si>
  <si>
    <t xml:space="preserve">Part B - </t>
  </si>
  <si>
    <t xml:space="preserve">Part H - </t>
  </si>
  <si>
    <t>National &amp;</t>
  </si>
  <si>
    <t xml:space="preserve">  Non-</t>
  </si>
  <si>
    <t>(Including State-Paid Teachers' Retirement)</t>
  </si>
  <si>
    <t>USDA</t>
  </si>
  <si>
    <t>State Grant</t>
  </si>
  <si>
    <t>Neglected</t>
  </si>
  <si>
    <t>Delinquent</t>
  </si>
  <si>
    <t>Out of County</t>
  </si>
  <si>
    <t>Living - Foster</t>
  </si>
  <si>
    <t>Student Transportation</t>
  </si>
  <si>
    <t>Other State Revenue</t>
  </si>
  <si>
    <t>Combined Grants</t>
  </si>
  <si>
    <t>Higher Education Act - Advanced Placement Fees</t>
  </si>
  <si>
    <t>Gaining</t>
  </si>
  <si>
    <t>Early</t>
  </si>
  <si>
    <t>Awareness</t>
  </si>
  <si>
    <t xml:space="preserve">and </t>
  </si>
  <si>
    <t>Readiness</t>
  </si>
  <si>
    <t xml:space="preserve">State Share of Teachers' Retirement </t>
  </si>
  <si>
    <t>Regular Transportation</t>
  </si>
  <si>
    <t>Transportation of Students with Disibilities</t>
  </si>
  <si>
    <t>Continuing Education</t>
  </si>
  <si>
    <t>Local      Education Agency</t>
  </si>
  <si>
    <t>Teacher Stipends &amp; Bonuses</t>
  </si>
  <si>
    <t>Reconsitution</t>
  </si>
  <si>
    <t>Hoyer Funds II</t>
  </si>
  <si>
    <t>Hoyer General Funds</t>
  </si>
  <si>
    <t>Smith Island</t>
  </si>
  <si>
    <t>School Boat</t>
  </si>
  <si>
    <t>Foundation Program</t>
  </si>
  <si>
    <t>Local Education Agency</t>
  </si>
  <si>
    <t>Per Student Foundation Program</t>
  </si>
  <si>
    <t>Wealth Per Student</t>
  </si>
  <si>
    <t>Total Foundation Program minus Local Share                 ( S1)</t>
  </si>
  <si>
    <t>Unadjusted Calculation</t>
  </si>
  <si>
    <t>Wealth Per Student - Table 9</t>
  </si>
  <si>
    <t>Minimum Grant</t>
  </si>
  <si>
    <t>Total Grant - Greater of Adjusted or Minimum Calculation</t>
  </si>
  <si>
    <t>Local Appropriations in Dollars</t>
  </si>
  <si>
    <t>Local Appropriations in Percent of Assessed Valuation</t>
  </si>
  <si>
    <t xml:space="preserve">Infants &amp; Toddlers </t>
  </si>
  <si>
    <t>English Language Acquisition</t>
  </si>
  <si>
    <t>Improving Teacher Quality State Grants</t>
  </si>
  <si>
    <t>21st Century Community Learning Centers.</t>
  </si>
  <si>
    <t>TITLE II</t>
  </si>
  <si>
    <t>Part B - Math &amp; Sciences</t>
  </si>
  <si>
    <t xml:space="preserve">Reading </t>
  </si>
  <si>
    <t>First</t>
  </si>
  <si>
    <t>Other Earnings on Investment</t>
  </si>
  <si>
    <t>Unrestricted and Impact Aid Funds</t>
  </si>
  <si>
    <t xml:space="preserve">Charter </t>
  </si>
  <si>
    <t>Public Health Services Act</t>
  </si>
  <si>
    <t>Social Security Act Medical Assistance</t>
  </si>
  <si>
    <t>Stewart B. McKinney Homeless Assistance</t>
  </si>
  <si>
    <t>Safe and Drug Free Communities</t>
  </si>
  <si>
    <t>ESEA Title X - Javits Gifted and Talented</t>
  </si>
  <si>
    <t>Title X - Fund for Improvement of Education</t>
  </si>
  <si>
    <t xml:space="preserve">Titles VI </t>
  </si>
  <si>
    <t>Total Local Wealth *</t>
  </si>
  <si>
    <t>GCEI - Regional Difference</t>
  </si>
  <si>
    <t>(D)</t>
  </si>
  <si>
    <t>Additional Grant to Adjusted Calculation</t>
  </si>
  <si>
    <t>Appropriation**</t>
  </si>
  <si>
    <r>
      <t>Other</t>
    </r>
    <r>
      <rPr>
        <b/>
        <sz val="10"/>
        <rFont val="Arial"/>
        <family val="2"/>
      </rPr>
      <t>***</t>
    </r>
  </si>
  <si>
    <t>Charles*</t>
  </si>
  <si>
    <t>** Nonrevenue includes earnings on investment, rental income, and other miscellaneous receipts, but excludes interfund transfers</t>
  </si>
  <si>
    <t>Other***</t>
  </si>
  <si>
    <t>revenue**</t>
  </si>
  <si>
    <t>Compensatory Education Formula</t>
  </si>
  <si>
    <t>Other**</t>
  </si>
  <si>
    <t>Baltimore City***</t>
  </si>
  <si>
    <t>*Includes earnings on investments, rental income, and other miscellaneous local revenue.</t>
  </si>
  <si>
    <t>*    Includes revenue to meet principal and interest obligations.</t>
  </si>
  <si>
    <t>**  Includes miscellaneous other revenue.</t>
  </si>
  <si>
    <t>NOTE:  Audit adjustments are not included.</t>
  </si>
  <si>
    <t>Belonging**</t>
  </si>
  <si>
    <t>* Assessed</t>
  </si>
  <si>
    <t>Greater of (S1) or ( S2)</t>
  </si>
  <si>
    <r>
      <t>Other</t>
    </r>
    <r>
      <rPr>
        <sz val="10"/>
        <rFont val="WP TypographicSymbols"/>
        <family val="0"/>
      </rPr>
      <t>**</t>
    </r>
  </si>
  <si>
    <t>Total Foundation Program (Enrollment X $6,694)</t>
  </si>
  <si>
    <t>Minimum State Share = Foundation Progam x .15           (S2)</t>
  </si>
  <si>
    <t>Students        X $3,247</t>
  </si>
  <si>
    <t>(B) X 80%</t>
  </si>
  <si>
    <t>**     Half-time prekindergarten pupils are expressed in full-time equivalents in arriving at per pupil costs.</t>
  </si>
  <si>
    <t>Local Appropriations in Percent of Total Local Wealth</t>
  </si>
  <si>
    <t>Local Appropriations for Public Schools as a Percent of Assessed Valuation and Total Local Wealth</t>
  </si>
  <si>
    <t>Table 12 (Continued)</t>
  </si>
  <si>
    <t>Adult Ed - English Lit/Civics</t>
  </si>
  <si>
    <t>ESEA I - LEA School System Support</t>
  </si>
  <si>
    <t>ESEA I - LEA State Administration</t>
  </si>
  <si>
    <t>Guaranteed Tax Base</t>
  </si>
  <si>
    <t>School Based Health Program</t>
  </si>
  <si>
    <t>DLLR--MOU</t>
  </si>
  <si>
    <t>ESEA</t>
  </si>
  <si>
    <t xml:space="preserve">Title IID </t>
  </si>
  <si>
    <t>Title IIIA</t>
  </si>
  <si>
    <t>ARRA</t>
  </si>
  <si>
    <t>Supplemental Grants</t>
  </si>
  <si>
    <t>Limited English Proficiency</t>
  </si>
  <si>
    <t>Title I School Improvement</t>
  </si>
  <si>
    <t>Disabled Students</t>
  </si>
  <si>
    <t>Revenue from the State for Maryland Public School Purposes:  2009 - 2010</t>
  </si>
  <si>
    <t>Revenue from the State for Maryland Public School Purposes:  2009 -2010</t>
  </si>
  <si>
    <t>Natl Early Intervention Scholarship &amp; Partnership</t>
  </si>
  <si>
    <t>Revenue from the Federal Government for Maryland Public Schools:  2009 -2010</t>
  </si>
  <si>
    <t xml:space="preserve"> Title II Carl T. Perkins - Career and Technology </t>
  </si>
  <si>
    <t>Displaced Homemakers</t>
  </si>
  <si>
    <t>Sex</t>
  </si>
  <si>
    <t>Equity</t>
  </si>
  <si>
    <t>Revenue from the Federal Government for Maryland Public Schools:  2009 - 2010</t>
  </si>
  <si>
    <t>National School Lunch Equipment Assistance</t>
  </si>
  <si>
    <t>Part B - Preschool</t>
  </si>
  <si>
    <t>Title I</t>
  </si>
  <si>
    <t>Targeted &amp; Incentive Grants to LEAs</t>
  </si>
  <si>
    <t>State Fiscal Stabilization Fund Grants</t>
  </si>
  <si>
    <t>Education Technology - State Grants</t>
  </si>
  <si>
    <t>Grants Through Other Agencies</t>
  </si>
  <si>
    <t>Revenue from the Federal Government for Maryland Public Schools:  2009- 2010</t>
  </si>
  <si>
    <t>Part B - State Pass Through</t>
  </si>
  <si>
    <t>IDEA PartC -  Infant &amp; Families</t>
  </si>
  <si>
    <t>Revenue from All Sources* for Maryland Public Schools:  2009 - 2010</t>
  </si>
  <si>
    <t>Revenue from the State for Maryland Public School Purposes: 2009 - 2010</t>
  </si>
  <si>
    <t>Revenue from All Sources for School Construction:  Maryland Public Schools:  2009 - 2010</t>
  </si>
  <si>
    <t>Revenue from All Sources for Food Service Operations:  Maryland Public Schools:  2009 - 2010</t>
  </si>
  <si>
    <t>Revenue from All Sources for Debt Service*:  Maryland Public Schools:  2009 - 2010</t>
  </si>
  <si>
    <t>Revenue from All Sources for Current Expenses*:   Maryland Public Schools:  2009 - 2010</t>
  </si>
  <si>
    <t>Foundation Current Expense Formula Aid for Maryland Public Schools:  2009 - 2010</t>
  </si>
  <si>
    <t>Enrollment  09-30-2008</t>
  </si>
  <si>
    <t>Local Share         ( Local Wealth X .66089%)</t>
  </si>
  <si>
    <t>BFRA Adjustment (**)</t>
  </si>
  <si>
    <t>SOURCE:  MSDE final calculations for the Major State Aid Programs for Fiscal Year 2010</t>
  </si>
  <si>
    <t>** Amounts reflect the 2009 overpayment recoupment per HB101 Budget Reconciliation Act, Section27.</t>
  </si>
  <si>
    <t>State Compensatory Education Aid for Maryland Public Schools:  2009- 2010</t>
  </si>
  <si>
    <t>10-31-2008 Eligible FARMS Students</t>
  </si>
  <si>
    <t>Grant Adjusted Calculation        @ 0.8017509</t>
  </si>
  <si>
    <t>Maryland Public Schools:  2009 - 2010</t>
  </si>
  <si>
    <r>
      <t xml:space="preserve">* </t>
    </r>
    <r>
      <rPr>
        <sz val="10"/>
        <rFont val="Wingdings"/>
        <family val="0"/>
      </rPr>
      <t xml:space="preserve">  </t>
    </r>
    <r>
      <rPr>
        <sz val="10"/>
        <rFont val="Arial"/>
        <family val="2"/>
      </rPr>
      <t>Excerpt from Table 1 - County Assessable Base for the Tax year beginning July 1, 2009 -- Maryland State Department of Assessment</t>
    </r>
  </si>
  <si>
    <t xml:space="preserve">        and Taxation.  Base Estimate date: November 1, 2009 . http://www.dat.state.md.us/sdatweb/stats</t>
  </si>
  <si>
    <t>Assessed Valuation per Pupil Belonging and per Capita:  State of Maryland:  2009 - 2010</t>
  </si>
  <si>
    <r>
      <t>July 1, 2009 Population Estimates</t>
    </r>
    <r>
      <rPr>
        <sz val="10"/>
        <rFont val="Arial"/>
        <family val="2"/>
      </rPr>
      <t xml:space="preserve"> ***</t>
    </r>
  </si>
  <si>
    <r>
      <t>***</t>
    </r>
    <r>
      <rPr>
        <sz val="10"/>
        <rFont val="Wingdings"/>
        <family val="0"/>
      </rPr>
      <t xml:space="preserve"> </t>
    </r>
    <r>
      <rPr>
        <sz val="10"/>
        <rFont val="Arial"/>
        <family val="2"/>
      </rPr>
      <t>Excerpt from Table 1 Annual Estimates of the Resident Population for Counties of Maryland: April 1, 2000 to July 1, 2009 (CO-EST2009-01-24).</t>
    </r>
  </si>
  <si>
    <t xml:space="preserve">      Source: http:www.census.gov/popest/counties/tables/CO-EST2009-01-24.xls </t>
  </si>
  <si>
    <t xml:space="preserve">      Release Date: March 2010.</t>
  </si>
  <si>
    <t>*    Excluded federal revenue and state revenue for food service operations; excluded sale of meals and value of USDA commodities; excluded State-Paid Teachers' Retirement.</t>
  </si>
  <si>
    <t>*  Included revenue from the following funds:  Current Expense, School Construction, Debt Service, and Food Service.</t>
  </si>
  <si>
    <r>
      <t xml:space="preserve">** </t>
    </r>
    <r>
      <rPr>
        <sz val="10"/>
        <rFont val="Arial"/>
        <family val="2"/>
      </rPr>
      <t>Included the following:  tuition, transportation fees, transfers from school units in other states, and other miscellaneous revenue.</t>
    </r>
  </si>
  <si>
    <t>*    Excluded federal revenue and state revenue for food service operations; excluded sale of meals and value of USDA commodities.</t>
  </si>
  <si>
    <t>**  Excluded   $6,737,395.27  Baltimore City Public Schools appropriated within the Current Expenses Fund,but transferred to Debt Service Fund.</t>
  </si>
  <si>
    <r>
      <t xml:space="preserve">*** </t>
    </r>
    <r>
      <rPr>
        <sz val="10"/>
        <rFont val="Arial"/>
        <family val="2"/>
      </rPr>
      <t>Included the following:  tuition, transportation fees, transfers from school units in other states, and other miscellaneous revenue.</t>
    </r>
  </si>
  <si>
    <t>*** Included  the following:  tuition, transportation fees, transfers from school units in other states, and other miscellaneous revenue</t>
  </si>
  <si>
    <t xml:space="preserve">***  Baltimore City Public Schools  appropriated $6,737,395.27 for Debt Service within the Current Expenses Fund; this amount is classified here as local appropriation. </t>
  </si>
  <si>
    <t>Disabled Student Formula</t>
  </si>
  <si>
    <t>Total Current Expense Formula Grants</t>
  </si>
  <si>
    <t>Total Current Expense Fund</t>
  </si>
  <si>
    <t>Percentage of Current Expense Formula Grants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</si>
</sst>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&quot;$&quot;#,##0\ ;\(&quot;$&quot;#,##0\)"/>
    <numFmt numFmtId="169" formatCode="#,##0.000"/>
    <numFmt numFmtId="170" formatCode="#,##0.0000"/>
    <numFmt numFmtId="171" formatCode="0.00000%"/>
    <numFmt numFmtId="172" formatCode="_(* #,##0.00_);_(* \(#,##0.00\);_(* &quot;-&quot;_);_(@_)"/>
    <numFmt numFmtId="173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6"/>
      <name val="Arial"/>
      <family val="2"/>
    </font>
    <font>
      <sz val="10"/>
      <name val="Wingdings"/>
      <family val="0"/>
    </font>
    <font>
      <sz val="10"/>
      <name val="WP TypographicSymbols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44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10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13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6" fontId="0" fillId="0" borderId="0" xfId="44" applyNumberFormat="1" applyFont="1" applyAlignment="1">
      <alignment/>
    </xf>
    <xf numFmtId="0" fontId="0" fillId="0" borderId="0" xfId="0" applyBorder="1" applyAlignment="1">
      <alignment wrapText="1"/>
    </xf>
    <xf numFmtId="166" fontId="0" fillId="0" borderId="0" xfId="44" applyNumberFormat="1" applyFont="1" applyBorder="1" applyAlignment="1">
      <alignment horizontal="left" indent="2"/>
    </xf>
    <xf numFmtId="0" fontId="0" fillId="0" borderId="12" xfId="0" applyFont="1" applyBorder="1" applyAlignment="1">
      <alignment/>
    </xf>
    <xf numFmtId="49" fontId="0" fillId="0" borderId="0" xfId="44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0" fillId="0" borderId="15" xfId="42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66" fontId="6" fillId="0" borderId="0" xfId="44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166" fontId="0" fillId="0" borderId="0" xfId="44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4" fontId="0" fillId="0" borderId="0" xfId="44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0" fontId="8" fillId="0" borderId="0" xfId="0" applyFont="1" applyAlignment="1">
      <alignment/>
    </xf>
    <xf numFmtId="165" fontId="0" fillId="0" borderId="11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11" xfId="0" applyNumberFormat="1" applyBorder="1" applyAlignment="1">
      <alignment/>
    </xf>
    <xf numFmtId="165" fontId="0" fillId="0" borderId="11" xfId="42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44" applyNumberFormat="1" applyFont="1" applyAlignment="1">
      <alignment/>
    </xf>
    <xf numFmtId="166" fontId="0" fillId="0" borderId="0" xfId="4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165" fontId="0" fillId="0" borderId="11" xfId="42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6" fontId="0" fillId="0" borderId="0" xfId="44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center"/>
    </xf>
    <xf numFmtId="10" fontId="0" fillId="0" borderId="0" xfId="57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44" fontId="0" fillId="0" borderId="0" xfId="42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1" fontId="0" fillId="0" borderId="13" xfId="0" applyNumberFormat="1" applyFont="1" applyBorder="1" applyAlignment="1">
      <alignment/>
    </xf>
    <xf numFmtId="43" fontId="0" fillId="0" borderId="13" xfId="42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66" fontId="0" fillId="0" borderId="0" xfId="44" applyNumberFormat="1" applyFont="1" applyBorder="1" applyAlignment="1">
      <alignment horizontal="center"/>
    </xf>
    <xf numFmtId="10" fontId="0" fillId="0" borderId="0" xfId="57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3" xfId="42" applyNumberFormat="1" applyFont="1" applyBorder="1" applyAlignment="1">
      <alignment horizontal="center"/>
    </xf>
    <xf numFmtId="165" fontId="0" fillId="0" borderId="13" xfId="42" applyNumberFormat="1" applyFont="1" applyBorder="1" applyAlignment="1">
      <alignment/>
    </xf>
    <xf numFmtId="43" fontId="0" fillId="0" borderId="13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42" fontId="0" fillId="0" borderId="0" xfId="44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 quotePrefix="1">
      <alignment/>
    </xf>
    <xf numFmtId="165" fontId="0" fillId="0" borderId="0" xfId="42" applyNumberFormat="1" applyFont="1" applyFill="1" applyBorder="1" applyAlignment="1">
      <alignment horizontal="center"/>
    </xf>
    <xf numFmtId="43" fontId="0" fillId="0" borderId="0" xfId="42" applyNumberFormat="1" applyFont="1" applyFill="1" applyBorder="1" applyAlignment="1">
      <alignment/>
    </xf>
    <xf numFmtId="0" fontId="5" fillId="0" borderId="0" xfId="0" applyFont="1" applyFill="1" applyAlignment="1" quotePrefix="1">
      <alignment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 horizontal="center"/>
    </xf>
    <xf numFmtId="10" fontId="0" fillId="0" borderId="0" xfId="57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42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10" fontId="0" fillId="0" borderId="0" xfId="57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3" fontId="0" fillId="0" borderId="0" xfId="42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3" fontId="0" fillId="0" borderId="11" xfId="42" applyFont="1" applyFill="1" applyBorder="1" applyAlignment="1">
      <alignment horizontal="center"/>
    </xf>
    <xf numFmtId="166" fontId="0" fillId="0" borderId="0" xfId="44" applyNumberFormat="1" applyFont="1" applyFill="1" applyAlignment="1">
      <alignment horizontal="left" indent="2"/>
    </xf>
    <xf numFmtId="166" fontId="0" fillId="0" borderId="0" xfId="44" applyNumberFormat="1" applyFont="1" applyFill="1" applyBorder="1" applyAlignment="1">
      <alignment horizontal="right"/>
    </xf>
    <xf numFmtId="10" fontId="0" fillId="0" borderId="0" xfId="57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3" fontId="0" fillId="0" borderId="13" xfId="42" applyFon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right"/>
    </xf>
    <xf numFmtId="43" fontId="0" fillId="0" borderId="0" xfId="42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6" fontId="0" fillId="0" borderId="0" xfId="44" applyNumberFormat="1" applyFont="1" applyFill="1" applyBorder="1" applyAlignment="1">
      <alignment horizontal="left" indent="3"/>
    </xf>
    <xf numFmtId="0" fontId="0" fillId="0" borderId="0" xfId="0" applyFont="1" applyFill="1" applyBorder="1" applyAlignment="1">
      <alignment/>
    </xf>
    <xf numFmtId="166" fontId="0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165" fontId="0" fillId="0" borderId="11" xfId="42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Font="1" applyAlignment="1">
      <alignment/>
    </xf>
    <xf numFmtId="41" fontId="10" fillId="0" borderId="0" xfId="0" applyNumberFormat="1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0" fillId="0" borderId="11" xfId="42" applyNumberFormat="1" applyFont="1" applyBorder="1" applyAlignment="1">
      <alignment horizontal="center"/>
    </xf>
    <xf numFmtId="165" fontId="0" fillId="0" borderId="13" xfId="0" applyNumberFormat="1" applyFont="1" applyBorder="1" applyAlignment="1">
      <alignment/>
    </xf>
    <xf numFmtId="3" fontId="0" fillId="0" borderId="0" xfId="0" applyNumberFormat="1" applyBorder="1" applyAlignment="1" applyProtection="1" quotePrefix="1">
      <alignment horizontal="right"/>
      <protection locked="0"/>
    </xf>
    <xf numFmtId="3" fontId="0" fillId="0" borderId="0" xfId="0" applyNumberFormat="1" applyFont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0" xfId="42" applyNumberFormat="1" applyFont="1" applyFill="1" applyBorder="1" applyAlignment="1" applyProtection="1">
      <alignment/>
      <protection locked="0"/>
    </xf>
    <xf numFmtId="41" fontId="0" fillId="0" borderId="0" xfId="42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2" fontId="0" fillId="0" borderId="0" xfId="0" applyNumberFormat="1" applyFont="1" applyFill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/>
      <protection locked="0"/>
    </xf>
    <xf numFmtId="165" fontId="6" fillId="0" borderId="0" xfId="42" applyNumberFormat="1" applyFont="1" applyFill="1" applyAlignment="1">
      <alignment/>
    </xf>
    <xf numFmtId="166" fontId="6" fillId="0" borderId="0" xfId="44" applyNumberFormat="1" applyFont="1" applyFill="1" applyAlignment="1">
      <alignment/>
    </xf>
    <xf numFmtId="165" fontId="0" fillId="0" borderId="0" xfId="42" applyNumberFormat="1" applyFont="1" applyFill="1" applyAlignment="1" applyProtection="1">
      <alignment horizontal="right"/>
      <protection locked="0"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 horizontal="right" vertical="top"/>
    </xf>
    <xf numFmtId="41" fontId="0" fillId="0" borderId="0" xfId="42" applyNumberFormat="1" applyFont="1" applyFill="1" applyAlignment="1">
      <alignment/>
    </xf>
    <xf numFmtId="166" fontId="6" fillId="0" borderId="0" xfId="44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3" xfId="42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0" xfId="0" applyFont="1" applyBorder="1" applyAlignment="1">
      <alignment wrapText="1"/>
    </xf>
    <xf numFmtId="43" fontId="0" fillId="0" borderId="0" xfId="42" applyFont="1" applyFill="1" applyBorder="1" applyAlignment="1">
      <alignment/>
    </xf>
    <xf numFmtId="0" fontId="0" fillId="0" borderId="0" xfId="0" applyFont="1" applyAlignment="1">
      <alignment/>
    </xf>
    <xf numFmtId="165" fontId="0" fillId="0" borderId="13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 indent="3"/>
    </xf>
    <xf numFmtId="165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Alignment="1">
      <alignment/>
    </xf>
    <xf numFmtId="37" fontId="0" fillId="0" borderId="0" xfId="44" applyNumberFormat="1" applyFont="1" applyFill="1" applyBorder="1" applyAlignment="1">
      <alignment/>
    </xf>
    <xf numFmtId="37" fontId="0" fillId="0" borderId="0" xfId="44" applyNumberFormat="1" applyFont="1" applyFill="1" applyAlignment="1">
      <alignment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6" fontId="0" fillId="0" borderId="0" xfId="44" applyNumberFormat="1" applyFont="1" applyFill="1" applyAlignment="1">
      <alignment horizontal="left" indent="2"/>
    </xf>
    <xf numFmtId="3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3" fontId="0" fillId="0" borderId="11" xfId="42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right"/>
    </xf>
    <xf numFmtId="42" fontId="0" fillId="0" borderId="0" xfId="42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3" fontId="0" fillId="0" borderId="0" xfId="42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2" fontId="0" fillId="0" borderId="0" xfId="0" applyNumberFormat="1" applyFont="1" applyFill="1" applyAlignment="1" applyProtection="1">
      <alignment/>
      <protection locked="0"/>
    </xf>
    <xf numFmtId="43" fontId="0" fillId="0" borderId="13" xfId="42" applyFont="1" applyFill="1" applyBorder="1" applyAlignment="1" applyProtection="1">
      <alignment/>
      <protection locked="0"/>
    </xf>
    <xf numFmtId="166" fontId="0" fillId="0" borderId="0" xfId="44" applyNumberFormat="1" applyFont="1" applyFill="1" applyAlignment="1" applyProtection="1">
      <alignment/>
      <protection locked="0"/>
    </xf>
    <xf numFmtId="44" fontId="0" fillId="0" borderId="0" xfId="44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center"/>
    </xf>
    <xf numFmtId="165" fontId="0" fillId="0" borderId="0" xfId="42" applyNumberFormat="1" applyFont="1" applyFill="1" applyAlignment="1">
      <alignment horizontal="center"/>
    </xf>
    <xf numFmtId="165" fontId="0" fillId="0" borderId="0" xfId="42" applyNumberFormat="1" applyFont="1" applyFill="1" applyBorder="1" applyAlignment="1">
      <alignment horizontal="center" wrapText="1"/>
    </xf>
    <xf numFmtId="166" fontId="0" fillId="0" borderId="0" xfId="44" applyNumberFormat="1" applyFont="1" applyFill="1" applyAlignment="1">
      <alignment/>
    </xf>
    <xf numFmtId="42" fontId="0" fillId="0" borderId="0" xfId="44" applyNumberFormat="1" applyFont="1" applyFill="1" applyAlignment="1">
      <alignment/>
    </xf>
    <xf numFmtId="166" fontId="0" fillId="0" borderId="0" xfId="44" applyNumberFormat="1" applyFont="1" applyAlignment="1">
      <alignment/>
    </xf>
    <xf numFmtId="165" fontId="0" fillId="0" borderId="13" xfId="42" applyNumberFormat="1" applyFont="1" applyFill="1" applyBorder="1" applyAlignment="1" applyProtection="1">
      <alignment/>
      <protection locked="0"/>
    </xf>
    <xf numFmtId="4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 horizontal="center"/>
    </xf>
    <xf numFmtId="165" fontId="0" fillId="0" borderId="0" xfId="42" applyNumberFormat="1" applyFont="1" applyBorder="1" applyAlignment="1">
      <alignment horizontal="center" vertical="center" wrapText="1"/>
    </xf>
    <xf numFmtId="165" fontId="0" fillId="0" borderId="0" xfId="42" applyNumberFormat="1" applyFont="1" applyFill="1" applyBorder="1" applyAlignment="1">
      <alignment horizontal="center"/>
    </xf>
    <xf numFmtId="42" fontId="0" fillId="0" borderId="0" xfId="44" applyNumberFormat="1" applyFont="1" applyAlignment="1">
      <alignment/>
    </xf>
    <xf numFmtId="168" fontId="0" fillId="0" borderId="0" xfId="0" applyNumberFormat="1" applyFont="1" applyFill="1" applyAlignment="1">
      <alignment/>
    </xf>
    <xf numFmtId="165" fontId="0" fillId="0" borderId="0" xfId="44" applyNumberFormat="1" applyFont="1" applyBorder="1" applyAlignment="1">
      <alignment horizontal="left" indent="2"/>
    </xf>
    <xf numFmtId="165" fontId="0" fillId="0" borderId="0" xfId="42" applyNumberFormat="1" applyFont="1" applyBorder="1" applyAlignment="1">
      <alignment horizontal="left" indent="2"/>
    </xf>
    <xf numFmtId="165" fontId="2" fillId="0" borderId="0" xfId="0" applyNumberFormat="1" applyFont="1" applyFill="1" applyAlignment="1">
      <alignment/>
    </xf>
    <xf numFmtId="165" fontId="0" fillId="0" borderId="11" xfId="0" applyNumberFormat="1" applyFont="1" applyFill="1" applyBorder="1" applyAlignment="1">
      <alignment/>
    </xf>
    <xf numFmtId="166" fontId="0" fillId="0" borderId="0" xfId="44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3" fontId="0" fillId="0" borderId="0" xfId="44" applyNumberFormat="1" applyFont="1" applyFill="1" applyAlignment="1">
      <alignment/>
    </xf>
    <xf numFmtId="43" fontId="0" fillId="0" borderId="13" xfId="44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4" fontId="0" fillId="0" borderId="0" xfId="44" applyFont="1" applyFill="1" applyAlignment="1">
      <alignment/>
    </xf>
    <xf numFmtId="2" fontId="0" fillId="0" borderId="0" xfId="0" applyNumberFormat="1" applyAlignment="1">
      <alignment/>
    </xf>
    <xf numFmtId="165" fontId="0" fillId="0" borderId="13" xfId="42" applyNumberFormat="1" applyFont="1" applyFill="1" applyBorder="1" applyAlignment="1">
      <alignment/>
    </xf>
    <xf numFmtId="44" fontId="0" fillId="0" borderId="0" xfId="44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49" fontId="0" fillId="0" borderId="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43" fontId="0" fillId="0" borderId="12" xfId="42" applyFont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2" fontId="0" fillId="0" borderId="0" xfId="44" applyNumberFormat="1" applyFont="1" applyFill="1" applyBorder="1" applyAlignment="1">
      <alignment/>
    </xf>
    <xf numFmtId="166" fontId="0" fillId="0" borderId="0" xfId="44" applyNumberFormat="1" applyFont="1" applyFill="1" applyAlignment="1">
      <alignment/>
    </xf>
    <xf numFmtId="43" fontId="0" fillId="0" borderId="0" xfId="42" applyFont="1" applyFill="1" applyAlignment="1">
      <alignment/>
    </xf>
    <xf numFmtId="165" fontId="0" fillId="0" borderId="0" xfId="44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1" fontId="0" fillId="0" borderId="0" xfId="44" applyNumberFormat="1" applyFont="1" applyFill="1" applyAlignment="1" applyProtection="1">
      <alignment/>
      <protection locked="0"/>
    </xf>
    <xf numFmtId="0" fontId="0" fillId="0" borderId="13" xfId="0" applyFont="1" applyBorder="1" applyAlignment="1">
      <alignment/>
    </xf>
    <xf numFmtId="165" fontId="0" fillId="0" borderId="0" xfId="42" applyNumberFormat="1" applyFont="1" applyFill="1" applyAlignment="1" applyProtection="1">
      <alignment horizontal="left" indent="2"/>
      <protection locked="0"/>
    </xf>
    <xf numFmtId="165" fontId="0" fillId="0" borderId="13" xfId="42" applyNumberFormat="1" applyFont="1" applyFill="1" applyBorder="1" applyAlignment="1" applyProtection="1">
      <alignment/>
      <protection locked="0"/>
    </xf>
    <xf numFmtId="43" fontId="0" fillId="0" borderId="0" xfId="42" applyFont="1" applyFill="1" applyAlignment="1" applyProtection="1">
      <alignment/>
      <protection locked="0"/>
    </xf>
    <xf numFmtId="165" fontId="0" fillId="0" borderId="0" xfId="42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 wrapText="1"/>
    </xf>
    <xf numFmtId="165" fontId="0" fillId="0" borderId="13" xfId="0" applyNumberFormat="1" applyFont="1" applyFill="1" applyBorder="1" applyAlignment="1">
      <alignment/>
    </xf>
    <xf numFmtId="166" fontId="0" fillId="0" borderId="0" xfId="44" applyNumberFormat="1" applyFont="1" applyFill="1" applyAlignment="1">
      <alignment horizontal="left" indent="3"/>
    </xf>
    <xf numFmtId="43" fontId="0" fillId="0" borderId="0" xfId="42" applyNumberFormat="1" applyFont="1" applyFill="1" applyAlignment="1">
      <alignment/>
    </xf>
    <xf numFmtId="43" fontId="0" fillId="0" borderId="13" xfId="42" applyNumberFormat="1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/>
    </xf>
    <xf numFmtId="41" fontId="0" fillId="0" borderId="0" xfId="0" applyNumberFormat="1" applyFont="1" applyFill="1" applyAlignment="1" quotePrefix="1">
      <alignment/>
    </xf>
    <xf numFmtId="41" fontId="0" fillId="0" borderId="13" xfId="0" applyNumberFormat="1" applyFont="1" applyFill="1" applyBorder="1" applyAlignment="1" applyProtection="1">
      <alignment/>
      <protection locked="0"/>
    </xf>
    <xf numFmtId="165" fontId="0" fillId="0" borderId="13" xfId="42" applyNumberFormat="1" applyFont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 quotePrefix="1">
      <alignment horizontal="right"/>
    </xf>
    <xf numFmtId="41" fontId="0" fillId="0" borderId="0" xfId="0" applyNumberFormat="1" applyFont="1" applyFill="1" applyBorder="1" applyAlignment="1" applyProtection="1">
      <alignment horizontal="center" vertical="center"/>
      <protection locked="0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 quotePrefix="1">
      <alignment/>
    </xf>
    <xf numFmtId="41" fontId="0" fillId="0" borderId="13" xfId="42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Fill="1" applyAlignment="1" quotePrefix="1">
      <alignment/>
    </xf>
    <xf numFmtId="0" fontId="45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center" vertical="center" wrapText="1"/>
    </xf>
    <xf numFmtId="167" fontId="0" fillId="0" borderId="0" xfId="57" applyNumberFormat="1" applyFont="1" applyFill="1" applyAlignment="1">
      <alignment/>
    </xf>
    <xf numFmtId="0" fontId="0" fillId="0" borderId="0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65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3" fontId="0" fillId="0" borderId="10" xfId="42" applyFont="1" applyFill="1" applyBorder="1" applyAlignment="1">
      <alignment horizontal="center"/>
    </xf>
    <xf numFmtId="43" fontId="0" fillId="0" borderId="13" xfId="42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 vertical="center" wrapText="1"/>
    </xf>
    <xf numFmtId="165" fontId="0" fillId="0" borderId="11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6" fontId="0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165" fontId="0" fillId="0" borderId="0" xfId="42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165" fontId="0" fillId="0" borderId="18" xfId="42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11" xfId="42" applyNumberFormat="1" applyFont="1" applyFill="1" applyBorder="1" applyAlignment="1">
      <alignment horizontal="center"/>
    </xf>
    <xf numFmtId="165" fontId="0" fillId="0" borderId="19" xfId="42" applyNumberFormat="1" applyFont="1" applyFill="1" applyBorder="1" applyAlignment="1">
      <alignment horizontal="center"/>
    </xf>
    <xf numFmtId="165" fontId="0" fillId="0" borderId="15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65" fontId="0" fillId="0" borderId="17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 wrapText="1"/>
    </xf>
    <xf numFmtId="165" fontId="0" fillId="0" borderId="14" xfId="42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165" fontId="0" fillId="0" borderId="0" xfId="42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44" applyFont="1" applyBorder="1" applyAlignment="1">
      <alignment horizontal="center" vertical="center" wrapText="1"/>
    </xf>
    <xf numFmtId="44" fontId="0" fillId="0" borderId="11" xfId="44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zoomScalePageLayoutView="0" workbookViewId="0" topLeftCell="A19">
      <selection activeCell="C21" sqref="C21"/>
    </sheetView>
  </sheetViews>
  <sheetFormatPr defaultColWidth="9.140625" defaultRowHeight="12.75"/>
  <cols>
    <col min="1" max="1" width="14.140625" style="91" bestFit="1" customWidth="1"/>
    <col min="2" max="2" width="15.57421875" style="91" customWidth="1"/>
    <col min="3" max="3" width="14.8515625" style="91" bestFit="1" customWidth="1"/>
    <col min="4" max="4" width="13.28125" style="91" bestFit="1" customWidth="1"/>
    <col min="5" max="5" width="14.8515625" style="91" bestFit="1" customWidth="1"/>
    <col min="6" max="6" width="15.00390625" style="91" bestFit="1" customWidth="1"/>
    <col min="7" max="7" width="13.28125" style="91" bestFit="1" customWidth="1"/>
    <col min="8" max="8" width="2.7109375" style="91" customWidth="1"/>
    <col min="9" max="12" width="9.140625" style="91" customWidth="1"/>
  </cols>
  <sheetData>
    <row r="1" spans="1:12" ht="12.75">
      <c r="A1" s="396" t="s">
        <v>88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12.7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12.75">
      <c r="A3" s="398" t="s">
        <v>265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2" ht="13.5" thickBot="1">
      <c r="A4" s="23"/>
      <c r="B4" s="124"/>
      <c r="C4" s="23"/>
      <c r="D4" s="23"/>
      <c r="E4" s="23"/>
      <c r="F4" s="23"/>
      <c r="G4" s="23"/>
      <c r="H4" s="23"/>
      <c r="I4" s="48"/>
      <c r="J4" s="23"/>
      <c r="K4" s="23"/>
      <c r="L4" s="23"/>
    </row>
    <row r="5" spans="1:60" ht="15" customHeight="1" thickTop="1">
      <c r="A5" s="125" t="s">
        <v>80</v>
      </c>
      <c r="B5" s="126" t="s">
        <v>43</v>
      </c>
      <c r="C5" s="394"/>
      <c r="D5" s="394"/>
      <c r="E5" s="395"/>
      <c r="F5" s="395"/>
      <c r="G5" s="125"/>
      <c r="H5" s="125"/>
      <c r="I5" s="394" t="s">
        <v>85</v>
      </c>
      <c r="J5" s="394"/>
      <c r="K5" s="394"/>
      <c r="L5" s="394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</row>
    <row r="6" spans="1:12" ht="12.75">
      <c r="A6" s="32" t="s">
        <v>33</v>
      </c>
      <c r="B6" s="127" t="s">
        <v>86</v>
      </c>
      <c r="C6" s="393" t="s">
        <v>80</v>
      </c>
      <c r="D6" s="393"/>
      <c r="E6" s="128"/>
      <c r="F6" s="128"/>
      <c r="G6" s="127" t="s">
        <v>82</v>
      </c>
      <c r="H6" s="127"/>
      <c r="I6" s="129"/>
      <c r="J6" s="129"/>
      <c r="K6" s="129"/>
      <c r="L6" s="129" t="s">
        <v>146</v>
      </c>
    </row>
    <row r="7" spans="1:12" ht="13.5" thickBot="1">
      <c r="A7" s="53" t="s">
        <v>137</v>
      </c>
      <c r="B7" s="130" t="s">
        <v>87</v>
      </c>
      <c r="C7" s="50" t="s">
        <v>81</v>
      </c>
      <c r="D7" s="50" t="s">
        <v>223</v>
      </c>
      <c r="E7" s="50" t="s">
        <v>44</v>
      </c>
      <c r="F7" s="50" t="s">
        <v>51</v>
      </c>
      <c r="G7" s="50" t="s">
        <v>84</v>
      </c>
      <c r="H7" s="50"/>
      <c r="I7" s="130" t="s">
        <v>80</v>
      </c>
      <c r="J7" s="130" t="s">
        <v>44</v>
      </c>
      <c r="K7" s="131" t="s">
        <v>51</v>
      </c>
      <c r="L7" s="131" t="s">
        <v>84</v>
      </c>
    </row>
    <row r="8" spans="1:12" ht="12.75">
      <c r="A8" s="32" t="s">
        <v>0</v>
      </c>
      <c r="B8" s="132">
        <f aca="true" t="shared" si="0" ref="B8:G8">SUM(B10:B37)</f>
        <v>13367359070.638998</v>
      </c>
      <c r="C8" s="132">
        <f t="shared" si="0"/>
        <v>5897761889.400001</v>
      </c>
      <c r="D8" s="132">
        <f t="shared" si="0"/>
        <v>703964518.8600001</v>
      </c>
      <c r="E8" s="132">
        <f t="shared" si="0"/>
        <v>5544621783.279001</v>
      </c>
      <c r="F8" s="132">
        <f t="shared" si="0"/>
        <v>1039049097.53</v>
      </c>
      <c r="G8" s="132">
        <f t="shared" si="0"/>
        <v>181961781.56999996</v>
      </c>
      <c r="H8" s="132"/>
      <c r="I8" s="133">
        <f>IF(B8&lt;&gt;0,((+C8+D8)/B8),(IF(C8&lt;&gt;0,1,0)))</f>
        <v>0.4938691609444751</v>
      </c>
      <c r="J8" s="133">
        <f>IF($B8&lt;&gt;0,(E8/$B8),(IF(E8&lt;&gt;0,1,0)))</f>
        <v>0.41478812336668625</v>
      </c>
      <c r="K8" s="133">
        <f>IF($B8&lt;&gt;0,(F8/$B8),(IF(F8&lt;&gt;0,1,0)))</f>
        <v>0.07773031995618641</v>
      </c>
      <c r="L8" s="133">
        <f>IF($B8&lt;&gt;0,(G8/$B8),(IF(G8&lt;&gt;0,1,0)))</f>
        <v>0.013612395732652499</v>
      </c>
    </row>
    <row r="9" spans="1:12" ht="12.75">
      <c r="A9" s="134"/>
      <c r="B9" s="135"/>
      <c r="C9" s="135"/>
      <c r="D9" s="30"/>
      <c r="E9" s="129"/>
      <c r="F9" s="129"/>
      <c r="G9" s="129"/>
      <c r="H9" s="129"/>
      <c r="I9" s="136"/>
      <c r="J9" s="136"/>
      <c r="K9" s="136"/>
      <c r="L9" s="136"/>
    </row>
    <row r="10" spans="1:12" ht="12.75">
      <c r="A10" s="23" t="s">
        <v>1</v>
      </c>
      <c r="B10" s="78">
        <f aca="true" t="shared" si="1" ref="B10:B28">SUM(C10:G10)</f>
        <v>145363373.99999997</v>
      </c>
      <c r="C10" s="135">
        <f>'table 2a'!C11+table4!C11+table5!C11</f>
        <v>28518901.13</v>
      </c>
      <c r="D10" s="30">
        <f>'table 2a'!D11+table4!D11+table5!D11+'table 6'!C12+'table 6'!D12+'table 6'!F12</f>
        <v>3977902.32</v>
      </c>
      <c r="E10" s="135">
        <f>state1!B12</f>
        <v>93026200.82999998</v>
      </c>
      <c r="F10" s="30">
        <f>fed1!B12</f>
        <v>14147501.020000001</v>
      </c>
      <c r="G10" s="51">
        <f>table4!G11+table5!G11+'table 6'!K12</f>
        <v>5692868.7</v>
      </c>
      <c r="H10" s="137"/>
      <c r="I10" s="138">
        <f>IF(B10&lt;&gt;0,((+C10+D10)/B10*100),(IF(C10&lt;&gt;0,1,0)))</f>
        <v>22.35556492380261</v>
      </c>
      <c r="J10" s="138">
        <f aca="true" t="shared" si="2" ref="J10:L14">IF($B10&lt;&gt;0,(E10/$B10*100),(IF(E10&lt;&gt;0,1,0)))</f>
        <v>63.995625768840505</v>
      </c>
      <c r="K10" s="138">
        <f t="shared" si="2"/>
        <v>9.732507323337174</v>
      </c>
      <c r="L10" s="138">
        <f t="shared" si="2"/>
        <v>3.916301984019717</v>
      </c>
    </row>
    <row r="11" spans="1:12" ht="12.75">
      <c r="A11" s="23" t="s">
        <v>2</v>
      </c>
      <c r="B11" s="78">
        <f t="shared" si="1"/>
        <v>1103768233.0589998</v>
      </c>
      <c r="C11" s="135">
        <f>'table 2a'!C12+table4!C12+table5!C12</f>
        <v>599821600</v>
      </c>
      <c r="D11" s="30">
        <f>'table 2a'!D12+table4!D12+table5!D12+'table 6'!C13+'table 6'!D13+'table 6'!F13</f>
        <v>15526816.76</v>
      </c>
      <c r="E11" s="135">
        <f>state1!B13</f>
        <v>367395751.04899985</v>
      </c>
      <c r="F11" s="30">
        <f>fed1!B13</f>
        <v>67865600.25</v>
      </c>
      <c r="G11" s="51">
        <f>table4!G12+table5!G12+'table 6'!K13</f>
        <v>53158465</v>
      </c>
      <c r="H11" s="78"/>
      <c r="I11" s="138">
        <f>IF(B11&lt;&gt;0,((+C11+D11)/B11*100),(IF(C11&lt;&gt;0,1,0)))</f>
        <v>55.74978499377665</v>
      </c>
      <c r="J11" s="138">
        <f t="shared" si="2"/>
        <v>33.28558840933425</v>
      </c>
      <c r="K11" s="138">
        <f t="shared" si="2"/>
        <v>6.148537185375979</v>
      </c>
      <c r="L11" s="138">
        <f t="shared" si="2"/>
        <v>4.816089411513125</v>
      </c>
    </row>
    <row r="12" spans="1:12" ht="12.75">
      <c r="A12" s="23" t="s">
        <v>3</v>
      </c>
      <c r="B12" s="78">
        <f t="shared" si="1"/>
        <v>1433277014.8400002</v>
      </c>
      <c r="C12" s="135">
        <f>'table 2a'!C13+table4!C13+table5!C13</f>
        <v>224063284.77</v>
      </c>
      <c r="D12" s="30">
        <f>'table 2a'!D13+table4!D13+table5!D13+'table 6'!C14+'table 6'!D14+'table 6'!F14</f>
        <v>9583063.780000001</v>
      </c>
      <c r="E12" s="135">
        <f>state1!B14</f>
        <v>893890759.7700001</v>
      </c>
      <c r="F12" s="30">
        <f>fed1!B14</f>
        <v>232318345.58000004</v>
      </c>
      <c r="G12" s="51">
        <f>table4!G13+table5!C13+'table 6'!K14</f>
        <v>73421560.94</v>
      </c>
      <c r="H12" s="78"/>
      <c r="I12" s="138">
        <f>IF(B12&lt;&gt;0,((+C12+D12)/B12*100),(IF(C12&lt;&gt;0,1,0)))</f>
        <v>16.301548558363123</v>
      </c>
      <c r="J12" s="138">
        <f t="shared" si="2"/>
        <v>62.36692213122438</v>
      </c>
      <c r="K12" s="138">
        <f t="shared" si="2"/>
        <v>16.208893547765033</v>
      </c>
      <c r="L12" s="138">
        <f t="shared" si="2"/>
        <v>5.122635762647475</v>
      </c>
    </row>
    <row r="13" spans="1:12" ht="12.75">
      <c r="A13" s="23" t="s">
        <v>4</v>
      </c>
      <c r="B13" s="78">
        <f t="shared" si="1"/>
        <v>1526306810.25</v>
      </c>
      <c r="C13" s="135">
        <f>'table 2a'!C14+table4!C14+table5!C14</f>
        <v>782084244</v>
      </c>
      <c r="D13" s="30">
        <f>'table 2a'!D14+table4!D14+table5!D14+'table 6'!C15+'table 6'!D15+'table 6'!F15</f>
        <v>18324121.77</v>
      </c>
      <c r="E13" s="135">
        <f>state1!B15</f>
        <v>612153453.02</v>
      </c>
      <c r="F13" s="30">
        <f>fed1!B15</f>
        <v>113744991.46</v>
      </c>
      <c r="G13" s="51">
        <f>table4!G14+table5!G14+'table 6'!K15</f>
        <v>0</v>
      </c>
      <c r="H13" s="78"/>
      <c r="I13" s="138">
        <f>IF(B13&lt;&gt;0,((+C13+D13)/B13*100),(IF(C13&lt;&gt;0,1,0)))</f>
        <v>52.44085660856731</v>
      </c>
      <c r="J13" s="138">
        <f t="shared" si="2"/>
        <v>40.10684148881789</v>
      </c>
      <c r="K13" s="138">
        <f t="shared" si="2"/>
        <v>7.452301902614798</v>
      </c>
      <c r="L13" s="138">
        <f t="shared" si="2"/>
        <v>0</v>
      </c>
    </row>
    <row r="14" spans="1:12" ht="12.75">
      <c r="A14" s="23" t="s">
        <v>5</v>
      </c>
      <c r="B14" s="78">
        <f t="shared" si="1"/>
        <v>237755617.57</v>
      </c>
      <c r="C14" s="135">
        <f>'table 2a'!C15+table4!C15+table5!C15</f>
        <v>115969234</v>
      </c>
      <c r="D14" s="30">
        <f>'table 2a'!D15+table4!D15+table5!D15+'table 6'!C16+'table 6'!D16+'table 6'!F16</f>
        <v>5188291.18</v>
      </c>
      <c r="E14" s="135">
        <f>state1!B16</f>
        <v>104716038.72999999</v>
      </c>
      <c r="F14" s="30">
        <f>fed1!B16</f>
        <v>11882053.66</v>
      </c>
      <c r="G14" s="51">
        <f>table4!G15+table5!G15+'table 6'!K16</f>
        <v>0</v>
      </c>
      <c r="H14" s="78"/>
      <c r="I14" s="138">
        <f>IF(B14&lt;&gt;0,((+C14+D14)/B14*100),(IF(C14&lt;&gt;0,1,0)))</f>
        <v>50.95884859348436</v>
      </c>
      <c r="J14" s="138">
        <f t="shared" si="2"/>
        <v>44.043560274309606</v>
      </c>
      <c r="K14" s="138">
        <f t="shared" si="2"/>
        <v>4.997591132206029</v>
      </c>
      <c r="L14" s="138">
        <f t="shared" si="2"/>
        <v>0</v>
      </c>
    </row>
    <row r="15" spans="1:12" ht="12.75">
      <c r="A15" s="23"/>
      <c r="B15" s="78"/>
      <c r="C15" s="30"/>
      <c r="D15" s="30"/>
      <c r="E15" s="51"/>
      <c r="F15" s="30"/>
      <c r="G15" s="30"/>
      <c r="H15" s="78"/>
      <c r="I15" s="138"/>
      <c r="J15" s="138"/>
      <c r="K15" s="138"/>
      <c r="L15" s="138"/>
    </row>
    <row r="16" spans="1:12" ht="12.75">
      <c r="A16" s="23" t="s">
        <v>6</v>
      </c>
      <c r="B16" s="78">
        <f t="shared" si="1"/>
        <v>84147872.69000001</v>
      </c>
      <c r="C16" s="135">
        <f>'table 2a'!C17+table4!C17+table5!C17</f>
        <v>12145724</v>
      </c>
      <c r="D16" s="30">
        <f>'table 2a'!D17+table4!D17+table5!D17+'table 6'!C18+'table 6'!D18+'table 6'!F18</f>
        <v>2906653.98</v>
      </c>
      <c r="E16" s="135">
        <f>state1!B18</f>
        <v>56324219.42</v>
      </c>
      <c r="F16" s="30">
        <f>fed1!B18</f>
        <v>8297649.54</v>
      </c>
      <c r="G16" s="51">
        <f>table4!G17+table5!G17+'table 6'!K18</f>
        <v>4473625.75</v>
      </c>
      <c r="H16" s="78"/>
      <c r="I16" s="138">
        <f>IF(B16&lt;&gt;0,((+C16+D16)/B16*100),(IF(C16&lt;&gt;0,1,0)))</f>
        <v>17.888007740198997</v>
      </c>
      <c r="J16" s="138">
        <f aca="true" t="shared" si="3" ref="J16:L20">IF($B16&lt;&gt;0,(E16/$B16*100),(IF(E16&lt;&gt;0,1,0)))</f>
        <v>66.93481085077208</v>
      </c>
      <c r="K16" s="138">
        <f t="shared" si="3"/>
        <v>9.86079537692945</v>
      </c>
      <c r="L16" s="138">
        <f t="shared" si="3"/>
        <v>5.316386032099464</v>
      </c>
    </row>
    <row r="17" spans="1:12" ht="12.75">
      <c r="A17" s="23" t="s">
        <v>7</v>
      </c>
      <c r="B17" s="78">
        <f t="shared" si="1"/>
        <v>380939569</v>
      </c>
      <c r="C17" s="135">
        <f>'table 2a'!C18+table4!C18+table5!C18</f>
        <v>184356495.88</v>
      </c>
      <c r="D17" s="30">
        <f>'table 2a'!D18+table4!D18+table5!D18+'table 6'!C19+'table 6'!D19+'table 6'!F19</f>
        <v>5760782.920000001</v>
      </c>
      <c r="E17" s="135">
        <f>state1!B19</f>
        <v>171423127.56</v>
      </c>
      <c r="F17" s="30">
        <f>fed1!B19</f>
        <v>17734611.69</v>
      </c>
      <c r="G17" s="51">
        <f>table4!G18+table5!G18+'table 6'!K19</f>
        <v>1664550.95</v>
      </c>
      <c r="H17" s="78"/>
      <c r="I17" s="138">
        <f>IF(B17&lt;&gt;0,((+C17+D17)/B17*100),(IF(C17&lt;&gt;0,1,0)))</f>
        <v>49.907464141641846</v>
      </c>
      <c r="J17" s="138">
        <f t="shared" si="3"/>
        <v>45.00008439921346</v>
      </c>
      <c r="K17" s="138">
        <f t="shared" si="3"/>
        <v>4.655492139226944</v>
      </c>
      <c r="L17" s="138">
        <f t="shared" si="3"/>
        <v>0.4369593199177479</v>
      </c>
    </row>
    <row r="18" spans="1:12" ht="12.75">
      <c r="A18" s="23" t="s">
        <v>8</v>
      </c>
      <c r="B18" s="78">
        <f t="shared" si="1"/>
        <v>216554014.72</v>
      </c>
      <c r="C18" s="135">
        <f>'table 2a'!C19+table4!C19+table5!C19</f>
        <v>68385625</v>
      </c>
      <c r="D18" s="30">
        <f>'table 2a'!D19+table4!D19+table5!D19+'table 6'!C20+'table 6'!D20+'table 6'!F20</f>
        <v>19254254.79</v>
      </c>
      <c r="E18" s="135">
        <f>state1!B20</f>
        <v>112653487.61000001</v>
      </c>
      <c r="F18" s="30">
        <f>fed1!B20</f>
        <v>16260647.32</v>
      </c>
      <c r="G18" s="51">
        <f>table4!G19+table5!G19+'table 6'!K20</f>
        <v>0</v>
      </c>
      <c r="H18" s="78"/>
      <c r="I18" s="138">
        <f>IF(B18&lt;&gt;0,((+C18+D18)/B18*100),(IF(C18&lt;&gt;0,1,0)))</f>
        <v>40.47021705107458</v>
      </c>
      <c r="J18" s="138">
        <f t="shared" si="3"/>
        <v>52.0209647258947</v>
      </c>
      <c r="K18" s="138">
        <f t="shared" si="3"/>
        <v>7.508818223030726</v>
      </c>
      <c r="L18" s="138">
        <f t="shared" si="3"/>
        <v>0</v>
      </c>
    </row>
    <row r="19" spans="1:12" ht="12.75">
      <c r="A19" s="23" t="s">
        <v>9</v>
      </c>
      <c r="B19" s="78">
        <f t="shared" si="1"/>
        <v>366198141.56</v>
      </c>
      <c r="C19" s="135">
        <f>'table 2a'!C20+table4!C20+table5!C20</f>
        <v>149797573</v>
      </c>
      <c r="D19" s="30">
        <f>'table 2a'!D20+table4!D20+table5!D20+'table 6'!C21+'table 6'!D21+'table 6'!F21</f>
        <v>14416831.33</v>
      </c>
      <c r="E19" s="135">
        <f>state1!B21</f>
        <v>178717354.46</v>
      </c>
      <c r="F19" s="30">
        <f>fed1!B21</f>
        <v>23266382.770000003</v>
      </c>
      <c r="G19" s="51">
        <f>table4!G20+table5!G20+'table 6'!K21</f>
        <v>0</v>
      </c>
      <c r="H19" s="78"/>
      <c r="I19" s="138">
        <f>IF(B19&lt;&gt;0,((+C19+D19)/B19*100),(IF(C19&lt;&gt;0,1,0)))</f>
        <v>44.84304688998379</v>
      </c>
      <c r="J19" s="138">
        <f t="shared" si="3"/>
        <v>48.803457521293275</v>
      </c>
      <c r="K19" s="138">
        <f t="shared" si="3"/>
        <v>6.353495588722945</v>
      </c>
      <c r="L19" s="138">
        <f t="shared" si="3"/>
        <v>0</v>
      </c>
    </row>
    <row r="20" spans="1:12" ht="12.75">
      <c r="A20" s="23" t="s">
        <v>10</v>
      </c>
      <c r="B20" s="78">
        <f t="shared" si="1"/>
        <v>78213081.92999999</v>
      </c>
      <c r="C20" s="135">
        <f>'table 2a'!C21+table4!C21+table5!C21</f>
        <v>17034817</v>
      </c>
      <c r="D20" s="30">
        <f>'table 2a'!D21+table4!D21+table5!D21+'table 6'!C22+'table 6'!D22+'table 6'!F22</f>
        <v>13121554.7</v>
      </c>
      <c r="E20" s="135">
        <f>state1!B22</f>
        <v>40611719.239999995</v>
      </c>
      <c r="F20" s="30">
        <f>fed1!B22</f>
        <v>7444990.989999999</v>
      </c>
      <c r="G20" s="51">
        <f>table4!G21+table5!G21+'table 6'!K22</f>
        <v>0</v>
      </c>
      <c r="H20" s="78"/>
      <c r="I20" s="138">
        <f>IF(B20&lt;&gt;0,((+C20+D20)/B20*100),(IF(C20&lt;&gt;0,1,0)))</f>
        <v>38.55668509136321</v>
      </c>
      <c r="J20" s="138">
        <f t="shared" si="3"/>
        <v>51.924458463799084</v>
      </c>
      <c r="K20" s="138">
        <f t="shared" si="3"/>
        <v>9.518856444837706</v>
      </c>
      <c r="L20" s="138">
        <f t="shared" si="3"/>
        <v>0</v>
      </c>
    </row>
    <row r="21" spans="1:12" ht="12.75">
      <c r="A21" s="23"/>
      <c r="B21" s="78"/>
      <c r="C21" s="30"/>
      <c r="D21" s="30"/>
      <c r="E21" s="51"/>
      <c r="F21" s="30"/>
      <c r="G21" s="30"/>
      <c r="H21" s="78"/>
      <c r="I21" s="138"/>
      <c r="J21" s="138"/>
      <c r="K21" s="138"/>
      <c r="L21" s="138"/>
    </row>
    <row r="22" spans="1:12" ht="12.75">
      <c r="A22" s="23" t="s">
        <v>11</v>
      </c>
      <c r="B22" s="78">
        <f t="shared" si="1"/>
        <v>587671756.1999999</v>
      </c>
      <c r="C22" s="135">
        <f>'table 2a'!C23+table4!C23+table5!C23</f>
        <v>249633041</v>
      </c>
      <c r="D22" s="30">
        <f>'table 2a'!D23+table4!D23+table5!D23+'table 6'!C24+'table 6'!D24+'table 6'!F24</f>
        <v>60454799.46</v>
      </c>
      <c r="E22" s="135">
        <f>state1!B24</f>
        <v>247673937.89999998</v>
      </c>
      <c r="F22" s="30">
        <f>fed1!B24</f>
        <v>29909977.839999996</v>
      </c>
      <c r="G22" s="51">
        <f>table4!G23+table5!G23+'table 6'!K24</f>
        <v>0</v>
      </c>
      <c r="H22" s="78"/>
      <c r="I22" s="138">
        <f>IF(B22&lt;&gt;0,((+C22+D22)/B22*100),(IF(C22&lt;&gt;0,1,0)))</f>
        <v>52.765482973877866</v>
      </c>
      <c r="J22" s="138">
        <f aca="true" t="shared" si="4" ref="J22:L26">IF($B22&lt;&gt;0,(E22/$B22*100),(IF(E22&lt;&gt;0,1,0)))</f>
        <v>42.144944909639335</v>
      </c>
      <c r="K22" s="138">
        <f t="shared" si="4"/>
        <v>5.089572116482803</v>
      </c>
      <c r="L22" s="138">
        <f t="shared" si="4"/>
        <v>0</v>
      </c>
    </row>
    <row r="23" spans="1:12" ht="12.75">
      <c r="A23" s="23" t="s">
        <v>12</v>
      </c>
      <c r="B23" s="78">
        <f t="shared" si="1"/>
        <v>60939984.39</v>
      </c>
      <c r="C23" s="135">
        <f>'table 2a'!C24+table4!C24+table5!C24</f>
        <v>23562071.66</v>
      </c>
      <c r="D23" s="30">
        <f>'table 2a'!D24+table4!D24+table5!D24+'table 6'!C25+'table 6'!D25+'table 6'!F25</f>
        <v>2121424.9299999997</v>
      </c>
      <c r="E23" s="135">
        <f>state1!B25</f>
        <v>28123534.459999997</v>
      </c>
      <c r="F23" s="30">
        <f>fed1!B25</f>
        <v>6850010.34</v>
      </c>
      <c r="G23" s="51">
        <f>table4!G24+table5!G24+'table 6'!K25</f>
        <v>282943</v>
      </c>
      <c r="H23" s="78"/>
      <c r="I23" s="138">
        <f>IF(B23&lt;&gt;0,((+C23+D23)/B23*100),(IF(C23&lt;&gt;0,1,0)))</f>
        <v>42.14555820302205</v>
      </c>
      <c r="J23" s="138">
        <f t="shared" si="4"/>
        <v>46.149559671720155</v>
      </c>
      <c r="K23" s="138">
        <f t="shared" si="4"/>
        <v>11.24058433648706</v>
      </c>
      <c r="L23" s="138">
        <f t="shared" si="4"/>
        <v>0.46429778877073324</v>
      </c>
    </row>
    <row r="24" spans="1:12" ht="12.75">
      <c r="A24" s="23" t="s">
        <v>13</v>
      </c>
      <c r="B24" s="78">
        <f t="shared" si="1"/>
        <v>595151812.8199999</v>
      </c>
      <c r="C24" s="135">
        <f>'table 2a'!C25+table4!C25+table5!C25</f>
        <v>231369771.92</v>
      </c>
      <c r="D24" s="30">
        <f>'table 2a'!D25+table4!D25+table5!D25+'table 6'!C26+'table 6'!D26+'table 6'!F26</f>
        <v>77247455.65</v>
      </c>
      <c r="E24" s="135">
        <f>state1!B26</f>
        <v>253420279.26</v>
      </c>
      <c r="F24" s="30">
        <f>fed1!B26</f>
        <v>32964305.990000006</v>
      </c>
      <c r="G24" s="51">
        <f>table4!G25+table5!G25+'table 6'!K26</f>
        <v>150000</v>
      </c>
      <c r="H24" s="78"/>
      <c r="I24" s="138">
        <f>IF(B24&lt;&gt;0,((+C24+D24)/B24*100),(IF(C24&lt;&gt;0,1,0)))</f>
        <v>51.85521087597517</v>
      </c>
      <c r="J24" s="138">
        <f t="shared" si="4"/>
        <v>42.58077918963601</v>
      </c>
      <c r="K24" s="138">
        <f t="shared" si="4"/>
        <v>5.538806281006803</v>
      </c>
      <c r="L24" s="138">
        <f t="shared" si="4"/>
        <v>0.025203653382026507</v>
      </c>
    </row>
    <row r="25" spans="1:12" ht="12.75">
      <c r="A25" s="23" t="s">
        <v>14</v>
      </c>
      <c r="B25" s="78">
        <f t="shared" si="1"/>
        <v>838783816.4900001</v>
      </c>
      <c r="C25" s="135">
        <f>'table 2a'!C26+table4!C26+table5!C26</f>
        <v>492759873</v>
      </c>
      <c r="D25" s="30">
        <f>'table 2a'!D26+table4!D26+table5!D26+'table 6'!C27+'table 6'!D27+'table 6'!F27</f>
        <v>53877951</v>
      </c>
      <c r="E25" s="135">
        <f>state1!B27</f>
        <v>261328230.40000004</v>
      </c>
      <c r="F25" s="30">
        <f>fed1!B27</f>
        <v>30817762.089999996</v>
      </c>
      <c r="G25" s="51">
        <f>table4!G26+table5!G26+'table 6'!K27</f>
        <v>0</v>
      </c>
      <c r="H25" s="78"/>
      <c r="I25" s="138">
        <f>IF(B25&lt;&gt;0,((+C25+D25)/B25*100),(IF(C25&lt;&gt;0,1,0)))</f>
        <v>65.17028741535297</v>
      </c>
      <c r="J25" s="138">
        <f t="shared" si="4"/>
        <v>31.155611882637647</v>
      </c>
      <c r="K25" s="138">
        <f t="shared" si="4"/>
        <v>3.67410070200936</v>
      </c>
      <c r="L25" s="138">
        <f t="shared" si="4"/>
        <v>0</v>
      </c>
    </row>
    <row r="26" spans="1:12" ht="12.75">
      <c r="A26" s="23" t="s">
        <v>15</v>
      </c>
      <c r="B26" s="78">
        <f t="shared" si="1"/>
        <v>35657098.32</v>
      </c>
      <c r="C26" s="135">
        <f>'table 2a'!C27+table4!C27+table5!C27</f>
        <v>17194706</v>
      </c>
      <c r="D26" s="30">
        <f>'table 2a'!D27+table4!D27+table5!D27+'table 6'!C28+'table 6'!D28+'table 6'!F28</f>
        <v>1448251.79</v>
      </c>
      <c r="E26" s="135">
        <f>state1!B28</f>
        <v>12412645.68</v>
      </c>
      <c r="F26" s="30">
        <f>fed1!B28</f>
        <v>4601494.850000001</v>
      </c>
      <c r="G26" s="51">
        <f>table4!G27+table5!G27+'table 6'!K28</f>
        <v>0</v>
      </c>
      <c r="H26" s="78"/>
      <c r="I26" s="138">
        <f>IF(B26&lt;&gt;0,((+C26+D26)/B26*100),(IF(C26&lt;&gt;0,1,0)))</f>
        <v>52.28400141450433</v>
      </c>
      <c r="J26" s="138">
        <f t="shared" si="4"/>
        <v>34.8111491535411</v>
      </c>
      <c r="K26" s="138">
        <f t="shared" si="4"/>
        <v>12.904849431954565</v>
      </c>
      <c r="L26" s="138">
        <f t="shared" si="4"/>
        <v>0</v>
      </c>
    </row>
    <row r="27" spans="1:12" ht="12.75">
      <c r="A27" s="23"/>
      <c r="B27" s="78"/>
      <c r="C27" s="30"/>
      <c r="D27" s="30"/>
      <c r="E27" s="51"/>
      <c r="F27" s="30"/>
      <c r="G27" s="30"/>
      <c r="H27" s="78"/>
      <c r="I27" s="138"/>
      <c r="J27" s="138"/>
      <c r="K27" s="138"/>
      <c r="L27" s="138"/>
    </row>
    <row r="28" spans="1:12" ht="12.75">
      <c r="A28" s="23" t="s">
        <v>16</v>
      </c>
      <c r="B28" s="78">
        <f t="shared" si="1"/>
        <v>2669807713.15</v>
      </c>
      <c r="C28" s="135">
        <f>'table 2a'!C29+table4!C29+table5!C29</f>
        <v>1617768134.77</v>
      </c>
      <c r="D28" s="30">
        <f>'table 2a'!D29+table4!D29+table5!D29+'table 6'!C30+'table 6'!D30+'table 6'!F30</f>
        <v>282590246.61</v>
      </c>
      <c r="E28" s="135">
        <f>state1!B30</f>
        <v>616443570.0300001</v>
      </c>
      <c r="F28" s="30">
        <f>fed1!B30</f>
        <v>144943897.73999995</v>
      </c>
      <c r="G28" s="51">
        <f>table4!G29+table5!G29+'table 6'!K30</f>
        <v>8061864</v>
      </c>
      <c r="H28" s="78"/>
      <c r="I28" s="138">
        <f>IF(B28&lt;&gt;0,((+C28+D28)/B28*100),(IF(C28&lt;&gt;0,1,0)))</f>
        <v>71.17959739272169</v>
      </c>
      <c r="J28" s="138">
        <f aca="true" t="shared" si="5" ref="J28:L32">IF($B28&lt;&gt;0,(E28/$B28*100),(IF(E28&lt;&gt;0,1,0)))</f>
        <v>23.089437003037304</v>
      </c>
      <c r="K28" s="138">
        <f t="shared" si="5"/>
        <v>5.429001385608643</v>
      </c>
      <c r="L28" s="138">
        <f t="shared" si="5"/>
        <v>0.3019642186323646</v>
      </c>
    </row>
    <row r="29" spans="1:12" ht="12.75">
      <c r="A29" s="23" t="s">
        <v>17</v>
      </c>
      <c r="B29" s="78">
        <f aca="true" t="shared" si="6" ref="B29:B37">SUM(C29:G29)</f>
        <v>1901253129.1299999</v>
      </c>
      <c r="C29" s="135">
        <f>'table 2a'!C30+table4!C30+table5!C30</f>
        <v>668792360.05</v>
      </c>
      <c r="D29" s="30">
        <f>'table 2a'!D30+table4!D30+table5!D30+'table 6'!C31+'table 6'!D31+'table 6'!F31</f>
        <v>64891954.34</v>
      </c>
      <c r="E29" s="135">
        <f>state1!B31</f>
        <v>978542855.02</v>
      </c>
      <c r="F29" s="30">
        <f>fed1!B31</f>
        <v>184845739.72000003</v>
      </c>
      <c r="G29" s="51">
        <f>table4!G30+table5!G30+'table 6'!K31</f>
        <v>4180220</v>
      </c>
      <c r="H29" s="78"/>
      <c r="I29" s="138">
        <f>IF(B29&lt;&gt;0,((+C29+D29)/B29*100),(IF(C29&lt;&gt;0,1,0)))</f>
        <v>38.58951252460154</v>
      </c>
      <c r="J29" s="138">
        <f t="shared" si="5"/>
        <v>51.468310033381734</v>
      </c>
      <c r="K29" s="138">
        <f t="shared" si="5"/>
        <v>9.72231087422768</v>
      </c>
      <c r="L29" s="138">
        <f t="shared" si="5"/>
        <v>0.21986656778904762</v>
      </c>
    </row>
    <row r="30" spans="1:12" ht="12.75">
      <c r="A30" s="23" t="s">
        <v>18</v>
      </c>
      <c r="B30" s="78">
        <f t="shared" si="6"/>
        <v>103573904.54</v>
      </c>
      <c r="C30" s="135">
        <f>'table 2a'!C31+table4!C31+table5!C31</f>
        <v>53615147</v>
      </c>
      <c r="D30" s="30">
        <f>'table 2a'!D31+table4!D31+table5!D31+'table 6'!C32+'table 6'!D32+'table 6'!F32</f>
        <v>5568916.510000001</v>
      </c>
      <c r="E30" s="135">
        <f>state1!B32</f>
        <v>37031143.39000001</v>
      </c>
      <c r="F30" s="30">
        <f>fed1!B32</f>
        <v>7358697.640000001</v>
      </c>
      <c r="G30" s="51">
        <f>table4!G31+table5!G31+'table 6'!K32</f>
        <v>0</v>
      </c>
      <c r="H30" s="78"/>
      <c r="I30" s="138">
        <f>IF(B30&lt;&gt;0,((+C30+D30)/B30*100),(IF(C30&lt;&gt;0,1,0)))</f>
        <v>57.14186770582087</v>
      </c>
      <c r="J30" s="138">
        <f t="shared" si="5"/>
        <v>35.75335269483701</v>
      </c>
      <c r="K30" s="138">
        <f t="shared" si="5"/>
        <v>7.104779599342119</v>
      </c>
      <c r="L30" s="138">
        <f t="shared" si="5"/>
        <v>0</v>
      </c>
    </row>
    <row r="31" spans="1:12" ht="12.75">
      <c r="A31" s="23" t="s">
        <v>19</v>
      </c>
      <c r="B31" s="78">
        <f t="shared" si="6"/>
        <v>220764034.72000003</v>
      </c>
      <c r="C31" s="135">
        <f>'table 2a'!C32+table4!C32+table5!C32</f>
        <v>85400610.04</v>
      </c>
      <c r="D31" s="30">
        <f>'table 2a'!D32+table4!D32+table5!D32+'table 6'!C33+'table 6'!D33+'table 6'!F33</f>
        <v>9165915.73</v>
      </c>
      <c r="E31" s="135">
        <f>state1!B33</f>
        <v>105885729.38000001</v>
      </c>
      <c r="F31" s="30">
        <f>fed1!B33</f>
        <v>20277485.260000005</v>
      </c>
      <c r="G31" s="51">
        <f>table4!G32+table5!G32+'table 6'!K33</f>
        <v>34294.31</v>
      </c>
      <c r="H31" s="78"/>
      <c r="I31" s="138">
        <f>IF(B31&lt;&gt;0,((+C31+D31)/B31*100),(IF(C31&lt;&gt;0,1,0)))</f>
        <v>42.83601986616201</v>
      </c>
      <c r="J31" s="138">
        <f t="shared" si="5"/>
        <v>47.96330594079659</v>
      </c>
      <c r="K31" s="138">
        <f t="shared" si="5"/>
        <v>9.185139819408716</v>
      </c>
      <c r="L31" s="138">
        <f t="shared" si="5"/>
        <v>0.015534373632687153</v>
      </c>
    </row>
    <row r="32" spans="1:12" ht="12.75">
      <c r="A32" s="23" t="s">
        <v>20</v>
      </c>
      <c r="B32" s="78">
        <f t="shared" si="6"/>
        <v>54489680.08</v>
      </c>
      <c r="C32" s="135">
        <f>'table 2a'!C33+table4!C33+table5!C33</f>
        <v>8740421.52</v>
      </c>
      <c r="D32" s="30">
        <f>'table 2a'!D33+table4!D33+table5!D33+'table 6'!C34+'table 6'!D34+'table 6'!F34</f>
        <v>3028980.7</v>
      </c>
      <c r="E32" s="135">
        <f>state1!B34</f>
        <v>32024999.259999998</v>
      </c>
      <c r="F32" s="30">
        <f>fed1!B34</f>
        <v>7309152.6</v>
      </c>
      <c r="G32" s="51">
        <f>table4!G33+table5!G33+'table 6'!K34</f>
        <v>3386126</v>
      </c>
      <c r="H32" s="78"/>
      <c r="I32" s="138">
        <f>IF(B32&lt;&gt;0,((+C32+D32)/B32*100),(IF(C32&lt;&gt;0,1,0)))</f>
        <v>21.599323399808075</v>
      </c>
      <c r="J32" s="138">
        <f t="shared" si="5"/>
        <v>58.7725954951138</v>
      </c>
      <c r="K32" s="138">
        <f t="shared" si="5"/>
        <v>13.413829167778077</v>
      </c>
      <c r="L32" s="138">
        <f t="shared" si="5"/>
        <v>6.214251937300051</v>
      </c>
    </row>
    <row r="33" spans="1:12" ht="12.75" customHeight="1">
      <c r="A33" s="23"/>
      <c r="B33" s="78"/>
      <c r="C33" s="30"/>
      <c r="D33" s="30"/>
      <c r="E33" s="51"/>
      <c r="F33" s="30"/>
      <c r="G33" s="30"/>
      <c r="H33" s="78"/>
      <c r="I33" s="23"/>
      <c r="J33" s="23"/>
      <c r="K33" s="23"/>
      <c r="L33" s="23"/>
    </row>
    <row r="34" spans="1:12" ht="12.75">
      <c r="A34" s="23" t="s">
        <v>21</v>
      </c>
      <c r="B34" s="78">
        <f t="shared" si="6"/>
        <v>59275770.82000001</v>
      </c>
      <c r="C34" s="135">
        <f>'table 2a'!C35+table4!C35+table5!C35</f>
        <v>38011289.17</v>
      </c>
      <c r="D34" s="30">
        <f>'table 2a'!D35+table4!D35+table5!D35+'table 6'!C36+'table 6'!D36+'table 6'!F36</f>
        <v>2731497.2300000004</v>
      </c>
      <c r="E34" s="135">
        <f>state1!B36</f>
        <v>13924989.509999998</v>
      </c>
      <c r="F34" s="30">
        <f>fed1!B36</f>
        <v>4607994.91</v>
      </c>
      <c r="G34" s="51">
        <f>table4!G35+table5!G35+'table 6'!K36</f>
        <v>0</v>
      </c>
      <c r="H34" s="78"/>
      <c r="I34" s="138">
        <f>IF(B34&lt;&gt;0,((+C34+D34)/B34*100),(IF(C34&lt;&gt;0,1,0)))</f>
        <v>68.73430043402007</v>
      </c>
      <c r="J34" s="138">
        <f aca="true" t="shared" si="7" ref="J34:L37">IF($B34&lt;&gt;0,(E34/$B34*100),(IF(E34&lt;&gt;0,1,0)))</f>
        <v>23.491874196432416</v>
      </c>
      <c r="K34" s="138">
        <f t="shared" si="7"/>
        <v>7.773825369547509</v>
      </c>
      <c r="L34" s="138">
        <f t="shared" si="7"/>
        <v>0</v>
      </c>
    </row>
    <row r="35" spans="1:12" ht="12.75">
      <c r="A35" s="23" t="s">
        <v>22</v>
      </c>
      <c r="B35" s="78">
        <f t="shared" si="6"/>
        <v>298571790.15</v>
      </c>
      <c r="C35" s="135">
        <f>'table 2a'!C36+table4!C36+table5!C36</f>
        <v>96054630.33999999</v>
      </c>
      <c r="D35" s="30">
        <f>'table 2a'!D36+table4!D36+table5!D36+'table 6'!C37+'table 6'!D37+'table 6'!F37</f>
        <v>5054302.5600000005</v>
      </c>
      <c r="E35" s="135">
        <f>state1!B37</f>
        <v>164722456.51</v>
      </c>
      <c r="F35" s="30">
        <f>fed1!B37</f>
        <v>24668830.170000006</v>
      </c>
      <c r="G35" s="51">
        <f>table4!G36+table5!G36+'table 6'!K37</f>
        <v>8071570.57</v>
      </c>
      <c r="H35" s="78"/>
      <c r="I35" s="138">
        <f>IF(B35&lt;&gt;0,((+C35+D35)/B35*100),(IF(C35&lt;&gt;0,1,0)))</f>
        <v>33.86419488900934</v>
      </c>
      <c r="J35" s="138">
        <f t="shared" si="7"/>
        <v>55.17013393236005</v>
      </c>
      <c r="K35" s="138">
        <f t="shared" si="7"/>
        <v>8.262277610891031</v>
      </c>
      <c r="L35" s="138">
        <f t="shared" si="7"/>
        <v>2.7033935677395746</v>
      </c>
    </row>
    <row r="36" spans="1:12" ht="12.75">
      <c r="A36" s="23" t="s">
        <v>23</v>
      </c>
      <c r="B36" s="78">
        <f t="shared" si="6"/>
        <v>241301100.37999997</v>
      </c>
      <c r="C36" s="135">
        <f>'table 2a'!C37+table4!C37+table5!C37</f>
        <v>51538444.15</v>
      </c>
      <c r="D36" s="30">
        <f>'table 2a'!D37+table4!D37+table5!D37+'table 6'!C38+'table 6'!D38+'table 6'!F38</f>
        <v>14150604.700000001</v>
      </c>
      <c r="E36" s="135">
        <f>state1!B38</f>
        <v>138320801.01</v>
      </c>
      <c r="F36" s="30">
        <f>fed1!B38</f>
        <v>17907558.17</v>
      </c>
      <c r="G36" s="51">
        <f>table4!G37+table5!G37+'table 6'!K38</f>
        <v>19383692.349999998</v>
      </c>
      <c r="H36" s="78"/>
      <c r="I36" s="138">
        <f>IF(B36&lt;&gt;0,((+C36+D36)/B36*100),(IF(C36&lt;&gt;0,1,0)))</f>
        <v>27.222855074656998</v>
      </c>
      <c r="J36" s="138">
        <f t="shared" si="7"/>
        <v>57.322905196939836</v>
      </c>
      <c r="K36" s="138">
        <f t="shared" si="7"/>
        <v>7.421250106940771</v>
      </c>
      <c r="L36" s="138">
        <f t="shared" si="7"/>
        <v>8.032989621462413</v>
      </c>
    </row>
    <row r="37" spans="1:12" ht="12.75">
      <c r="A37" s="31" t="s">
        <v>24</v>
      </c>
      <c r="B37" s="139">
        <f t="shared" si="6"/>
        <v>127593749.83000001</v>
      </c>
      <c r="C37" s="140">
        <f>'table 2a'!C38+table4!C38+table5!C38</f>
        <v>81143890</v>
      </c>
      <c r="D37" s="28">
        <f>'table 2a'!D38+table4!D38+table5!D38+'table 6'!C39+'table 6'!D39+'table 6'!F39</f>
        <v>13571944.12</v>
      </c>
      <c r="E37" s="140">
        <f>state1!B39</f>
        <v>23854499.78</v>
      </c>
      <c r="F37" s="28">
        <f>fed1!B39</f>
        <v>9023415.930000002</v>
      </c>
      <c r="G37" s="141">
        <f>table4!G38+table5!G38+'table 6'!K39</f>
        <v>0</v>
      </c>
      <c r="H37" s="139"/>
      <c r="I37" s="142">
        <f>IF(B37&lt;&gt;0,((+C37+D37)/B37*100),(IF(C37&lt;&gt;0,1,0)))</f>
        <v>74.2323462130355</v>
      </c>
      <c r="J37" s="142">
        <f t="shared" si="7"/>
        <v>18.695664804727997</v>
      </c>
      <c r="K37" s="142">
        <f t="shared" si="7"/>
        <v>7.071988982236498</v>
      </c>
      <c r="L37" s="142">
        <f t="shared" si="7"/>
        <v>0</v>
      </c>
    </row>
    <row r="38" spans="2:13" ht="12.75">
      <c r="B38" s="84"/>
      <c r="C38" s="162"/>
      <c r="D38" s="84"/>
      <c r="E38" s="84"/>
      <c r="F38" s="84"/>
      <c r="G38" s="84"/>
      <c r="H38" s="84"/>
      <c r="I38" s="163"/>
      <c r="J38" s="163"/>
      <c r="K38" s="163"/>
      <c r="L38" s="163"/>
      <c r="M38" s="84"/>
    </row>
    <row r="39" spans="1:13" ht="12.75">
      <c r="A39" s="385" t="s">
        <v>289</v>
      </c>
      <c r="B39" s="84"/>
      <c r="C39" s="84"/>
      <c r="D39" s="84"/>
      <c r="E39" s="84"/>
      <c r="F39" s="84"/>
      <c r="G39" s="84"/>
      <c r="H39" s="84"/>
      <c r="I39" s="163"/>
      <c r="J39" s="163"/>
      <c r="K39" s="163"/>
      <c r="L39" s="163"/>
      <c r="M39" s="84"/>
    </row>
    <row r="40" spans="1:13" ht="12.75">
      <c r="A40" s="164" t="s">
        <v>290</v>
      </c>
      <c r="B40" s="84"/>
      <c r="C40" s="84"/>
      <c r="D40" s="84"/>
      <c r="E40" s="84"/>
      <c r="F40" s="84"/>
      <c r="G40" s="84"/>
      <c r="H40" s="84"/>
      <c r="I40" s="163"/>
      <c r="J40" s="163"/>
      <c r="K40" s="163"/>
      <c r="L40" s="163"/>
      <c r="M40" s="84"/>
    </row>
    <row r="41" spans="1:12" ht="12.75">
      <c r="A41" s="123"/>
      <c r="I41" s="143"/>
      <c r="J41" s="143"/>
      <c r="K41" s="143"/>
      <c r="L41" s="143"/>
    </row>
    <row r="42" spans="9:12" ht="12.75">
      <c r="I42" s="95"/>
      <c r="J42" s="95"/>
      <c r="K42" s="95"/>
      <c r="L42" s="95"/>
    </row>
    <row r="43" spans="9:12" ht="12.75">
      <c r="I43" s="95"/>
      <c r="J43" s="95"/>
      <c r="K43" s="95"/>
      <c r="L43" s="95"/>
    </row>
  </sheetData>
  <sheetProtection password="CAF5" sheet="1" objects="1" scenarios="1"/>
  <mergeCells count="6">
    <mergeCell ref="C6:D6"/>
    <mergeCell ref="C5:F5"/>
    <mergeCell ref="I5:L5"/>
    <mergeCell ref="A1:L1"/>
    <mergeCell ref="A2:L2"/>
    <mergeCell ref="A3:L3"/>
  </mergeCells>
  <printOptions horizontalCentered="1"/>
  <pageMargins left="0.59" right="0.56" top="0.83" bottom="1" header="0.67" footer="0.5"/>
  <pageSetup fitToHeight="1" fitToWidth="1" horizontalDpi="600" verticalDpi="600" orientation="landscape" scale="91" r:id="rId1"/>
  <headerFooter scaleWithDoc="0" alignWithMargins="0">
    <oddHeader>&amp;C
</oddHeader>
    <oddFooter>&amp;L&amp;"Arial,Italic"MSDE- LFRO  10 / 2011&amp;C- 1 -&amp;R&amp;"Arial,Italic"Selected Financial Data-Part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3.8515625" style="0" customWidth="1"/>
    <col min="2" max="2" width="14.421875" style="270" customWidth="1"/>
    <col min="3" max="3" width="15.00390625" style="270" bestFit="1" customWidth="1"/>
    <col min="4" max="4" width="14.8515625" style="270" customWidth="1"/>
    <col min="5" max="6" width="15.57421875" style="270" customWidth="1"/>
    <col min="7" max="7" width="17.421875" style="264" customWidth="1"/>
  </cols>
  <sheetData>
    <row r="1" spans="1:7" ht="12.75">
      <c r="A1" s="403" t="s">
        <v>122</v>
      </c>
      <c r="B1" s="403"/>
      <c r="C1" s="403"/>
      <c r="D1" s="403"/>
      <c r="E1" s="403"/>
      <c r="F1" s="403"/>
      <c r="G1" s="403"/>
    </row>
    <row r="3" spans="1:7" ht="12.75">
      <c r="A3" s="398" t="s">
        <v>246</v>
      </c>
      <c r="B3" s="403"/>
      <c r="C3" s="403"/>
      <c r="D3" s="403"/>
      <c r="E3" s="403"/>
      <c r="F3" s="403"/>
      <c r="G3" s="403"/>
    </row>
    <row r="4" spans="1:7" ht="13.5" thickBot="1">
      <c r="A4" s="84"/>
      <c r="B4" s="276"/>
      <c r="C4" s="276"/>
      <c r="D4" s="276"/>
      <c r="E4" s="276"/>
      <c r="F4" s="276"/>
      <c r="G4" s="276"/>
    </row>
    <row r="5" spans="1:7" ht="15" customHeight="1" thickTop="1">
      <c r="A5" s="444" t="s">
        <v>47</v>
      </c>
      <c r="B5" s="444"/>
      <c r="C5" s="444"/>
      <c r="D5" s="444"/>
      <c r="E5" s="444"/>
      <c r="F5" s="444"/>
      <c r="G5" s="456"/>
    </row>
    <row r="6" spans="1:20" ht="12.75">
      <c r="A6" s="453"/>
      <c r="B6" s="453"/>
      <c r="C6" s="453"/>
      <c r="D6" s="453"/>
      <c r="E6" s="453"/>
      <c r="F6" s="453"/>
      <c r="G6" s="45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7" ht="12.75" customHeight="1">
      <c r="A7" s="429" t="s">
        <v>167</v>
      </c>
      <c r="C7" s="455" t="s">
        <v>168</v>
      </c>
      <c r="F7" s="323"/>
      <c r="G7" s="455" t="s">
        <v>155</v>
      </c>
    </row>
    <row r="8" spans="1:7" ht="12.75" customHeight="1">
      <c r="A8" s="429"/>
      <c r="B8" s="436" t="s">
        <v>243</v>
      </c>
      <c r="C8" s="426"/>
      <c r="D8" s="333"/>
      <c r="E8" s="454" t="s">
        <v>171</v>
      </c>
      <c r="G8" s="426"/>
    </row>
    <row r="9" spans="1:7" ht="12.75" customHeight="1">
      <c r="A9" s="429"/>
      <c r="B9" s="437"/>
      <c r="C9" s="426"/>
      <c r="D9" s="457" t="s">
        <v>170</v>
      </c>
      <c r="E9" s="437"/>
      <c r="F9" s="426" t="s">
        <v>237</v>
      </c>
      <c r="G9" s="426"/>
    </row>
    <row r="10" spans="1:7" ht="13.5" thickBot="1">
      <c r="A10" s="430"/>
      <c r="B10" s="428"/>
      <c r="C10" s="427"/>
      <c r="D10" s="430"/>
      <c r="E10" s="428"/>
      <c r="F10" s="428"/>
      <c r="G10" s="427"/>
    </row>
    <row r="11" spans="1:7" s="45" customFormat="1" ht="12.75">
      <c r="A11" s="49" t="s">
        <v>0</v>
      </c>
      <c r="B11" s="325">
        <f aca="true" t="shared" si="0" ref="B11:G11">SUM(B13:B40)</f>
        <v>143944626.99</v>
      </c>
      <c r="C11" s="317">
        <f t="shared" si="0"/>
        <v>3700817.31</v>
      </c>
      <c r="D11" s="317">
        <f t="shared" si="0"/>
        <v>4417091.000000001</v>
      </c>
      <c r="E11" s="317">
        <f t="shared" si="0"/>
        <v>3659178.73</v>
      </c>
      <c r="F11" s="317">
        <f t="shared" si="0"/>
        <v>983169</v>
      </c>
      <c r="G11" s="317">
        <f t="shared" si="0"/>
        <v>18007025.61999995</v>
      </c>
    </row>
    <row r="12" spans="1:7" ht="12.75">
      <c r="A12" s="3"/>
      <c r="B12" s="250"/>
      <c r="C12" s="248"/>
      <c r="D12" s="248"/>
      <c r="E12" s="248"/>
      <c r="F12" s="248"/>
      <c r="G12" s="270"/>
    </row>
    <row r="13" spans="1:7" ht="12.75">
      <c r="A13" t="s">
        <v>1</v>
      </c>
      <c r="B13" s="248">
        <v>142563</v>
      </c>
      <c r="C13" s="248">
        <v>22000</v>
      </c>
      <c r="D13" s="360">
        <v>342632.28</v>
      </c>
      <c r="E13" s="248">
        <v>0</v>
      </c>
      <c r="F13" s="248">
        <v>0</v>
      </c>
      <c r="G13" s="248">
        <v>354340.5899999887</v>
      </c>
    </row>
    <row r="14" spans="1:7" ht="12.75">
      <c r="A14" t="s">
        <v>2</v>
      </c>
      <c r="B14" s="248">
        <v>5194505</v>
      </c>
      <c r="C14" s="248">
        <v>0</v>
      </c>
      <c r="D14" s="360">
        <v>56389.45</v>
      </c>
      <c r="E14" s="248">
        <v>0</v>
      </c>
      <c r="F14" s="248">
        <v>0</v>
      </c>
      <c r="G14" s="248">
        <v>720958.5099999309</v>
      </c>
    </row>
    <row r="15" spans="1:7" ht="12.75">
      <c r="A15" t="s">
        <v>3</v>
      </c>
      <c r="B15" s="236">
        <v>10260990</v>
      </c>
      <c r="C15" s="248">
        <f>1014000+28000</f>
        <v>1042000</v>
      </c>
      <c r="D15" s="248">
        <v>0</v>
      </c>
      <c r="E15" s="248">
        <v>151734.33</v>
      </c>
      <c r="F15" s="248">
        <v>0</v>
      </c>
      <c r="G15" s="248">
        <v>14205.120000004768</v>
      </c>
    </row>
    <row r="16" spans="1:7" ht="12.75">
      <c r="A16" t="s">
        <v>4</v>
      </c>
      <c r="B16" s="236">
        <v>10678357</v>
      </c>
      <c r="C16" s="248">
        <v>354500</v>
      </c>
      <c r="D16" s="248">
        <v>16191.27</v>
      </c>
      <c r="E16" s="248">
        <v>322047.97</v>
      </c>
      <c r="F16" s="248">
        <v>0</v>
      </c>
      <c r="G16" s="248">
        <v>4528182.199999988</v>
      </c>
    </row>
    <row r="17" spans="1:7" ht="12.75">
      <c r="A17" t="s">
        <v>5</v>
      </c>
      <c r="B17" s="236">
        <v>736734</v>
      </c>
      <c r="C17" s="236">
        <v>0</v>
      </c>
      <c r="D17" s="236">
        <v>455654.63</v>
      </c>
      <c r="E17" s="248">
        <v>0</v>
      </c>
      <c r="F17" s="248">
        <v>0</v>
      </c>
      <c r="G17" s="248">
        <v>438008.6900000125</v>
      </c>
    </row>
    <row r="18" spans="2:7" ht="12.75">
      <c r="B18" s="248"/>
      <c r="C18" s="248"/>
      <c r="D18" s="248"/>
      <c r="E18" s="248"/>
      <c r="F18" s="248"/>
      <c r="G18" s="248"/>
    </row>
    <row r="19" spans="1:7" ht="12.75">
      <c r="A19" t="s">
        <v>6</v>
      </c>
      <c r="B19" s="248">
        <v>826902</v>
      </c>
      <c r="C19" s="360">
        <v>16000</v>
      </c>
      <c r="D19" s="248">
        <v>324240.2</v>
      </c>
      <c r="E19" s="248">
        <v>29696.7</v>
      </c>
      <c r="F19" s="248">
        <v>0</v>
      </c>
      <c r="G19" s="248">
        <v>742202.7899999991</v>
      </c>
    </row>
    <row r="20" spans="1:7" ht="12.75">
      <c r="A20" t="s">
        <v>7</v>
      </c>
      <c r="B20" s="248">
        <v>662089</v>
      </c>
      <c r="C20" s="248">
        <f>102000+1000</f>
        <v>103000</v>
      </c>
      <c r="D20" s="248">
        <v>54281.740000000005</v>
      </c>
      <c r="E20" s="248">
        <v>288176.13</v>
      </c>
      <c r="F20" s="248">
        <v>0</v>
      </c>
      <c r="G20" s="248">
        <v>42228.93000000715</v>
      </c>
    </row>
    <row r="21" spans="1:7" ht="12.75">
      <c r="A21" t="s">
        <v>8</v>
      </c>
      <c r="B21" s="248">
        <v>522777</v>
      </c>
      <c r="C21" s="248">
        <v>33000</v>
      </c>
      <c r="D21" s="248">
        <v>23935.3</v>
      </c>
      <c r="E21" s="248">
        <v>416858.38</v>
      </c>
      <c r="F21" s="248">
        <v>0</v>
      </c>
      <c r="G21" s="248">
        <v>453424.8000000268</v>
      </c>
    </row>
    <row r="22" spans="1:7" ht="12.75">
      <c r="A22" t="s">
        <v>9</v>
      </c>
      <c r="B22" s="248">
        <v>792638</v>
      </c>
      <c r="C22" s="248">
        <v>15000</v>
      </c>
      <c r="D22" s="248">
        <v>265197.59</v>
      </c>
      <c r="E22" s="248">
        <v>398923.91</v>
      </c>
      <c r="F22" s="248">
        <v>0</v>
      </c>
      <c r="G22" s="248">
        <v>955550.25</v>
      </c>
    </row>
    <row r="23" spans="1:7" ht="12.75">
      <c r="A23" t="s">
        <v>10</v>
      </c>
      <c r="B23" s="248">
        <v>264034.99</v>
      </c>
      <c r="C23" s="248">
        <f>23500+62000</f>
        <v>85500</v>
      </c>
      <c r="D23" s="248">
        <v>342011.15</v>
      </c>
      <c r="E23" s="248">
        <v>0</v>
      </c>
      <c r="F23" s="248">
        <v>0</v>
      </c>
      <c r="G23" s="248">
        <v>363618.8500000001</v>
      </c>
    </row>
    <row r="24" spans="2:7" ht="12.75">
      <c r="B24" s="248"/>
      <c r="C24" s="248"/>
      <c r="D24" s="248"/>
      <c r="E24" s="248"/>
      <c r="F24" s="248"/>
      <c r="G24" s="248"/>
    </row>
    <row r="25" spans="1:7" ht="12.75">
      <c r="A25" t="s">
        <v>11</v>
      </c>
      <c r="B25" s="248">
        <v>5017477</v>
      </c>
      <c r="C25" s="248">
        <v>34000</v>
      </c>
      <c r="D25" s="248">
        <f>35420.3+309075.2</f>
        <v>344495.5</v>
      </c>
      <c r="E25" s="248">
        <v>0</v>
      </c>
      <c r="F25" s="248">
        <v>941404</v>
      </c>
      <c r="G25" s="248">
        <v>1149525.4399999678</v>
      </c>
    </row>
    <row r="26" spans="1:7" ht="12.75">
      <c r="A26" t="s">
        <v>12</v>
      </c>
      <c r="B26" s="248">
        <v>9794</v>
      </c>
      <c r="C26" s="248">
        <v>8000</v>
      </c>
      <c r="D26" s="248">
        <v>24043.77</v>
      </c>
      <c r="E26" s="248">
        <v>301393.25</v>
      </c>
      <c r="F26" s="248">
        <v>0</v>
      </c>
      <c r="G26" s="248">
        <v>145443.4299999997</v>
      </c>
    </row>
    <row r="27" spans="1:7" ht="12.75">
      <c r="A27" t="s">
        <v>13</v>
      </c>
      <c r="B27" s="248">
        <v>1880829</v>
      </c>
      <c r="C27" s="248">
        <v>27000</v>
      </c>
      <c r="D27" s="248">
        <v>32779.47</v>
      </c>
      <c r="E27" s="248">
        <v>0</v>
      </c>
      <c r="F27" s="248">
        <v>0</v>
      </c>
      <c r="G27" s="248">
        <f>4381310.23-1880829</f>
        <v>2500481.2300000004</v>
      </c>
    </row>
    <row r="28" spans="1:7" ht="12.75">
      <c r="A28" t="s">
        <v>14</v>
      </c>
      <c r="B28" s="248">
        <v>5540281</v>
      </c>
      <c r="C28" s="248">
        <f>74000+1000</f>
        <v>75000</v>
      </c>
      <c r="D28" s="248">
        <v>13675.18</v>
      </c>
      <c r="E28" s="248">
        <v>318748.38</v>
      </c>
      <c r="F28" s="248">
        <v>0</v>
      </c>
      <c r="G28" s="248">
        <v>132554.05000001192</v>
      </c>
    </row>
    <row r="29" spans="1:7" ht="12.75">
      <c r="A29" t="s">
        <v>15</v>
      </c>
      <c r="B29" s="248">
        <v>166900</v>
      </c>
      <c r="C29" s="248">
        <v>0</v>
      </c>
      <c r="D29" s="248">
        <v>323061.4</v>
      </c>
      <c r="E29" s="248">
        <v>0</v>
      </c>
      <c r="F29" s="248">
        <v>41765</v>
      </c>
      <c r="G29" s="248">
        <f>10363426.01-SUM(F29,D29,B29,state3!D29,state3!C29,state2!H28,state2!G28,state2!E28,state2!D28,state2!C28,state1!H28,state1!G28,state1!D28,)</f>
        <v>740706.8699999992</v>
      </c>
    </row>
    <row r="30" spans="2:7" ht="12.75">
      <c r="B30" s="248"/>
      <c r="C30" s="248"/>
      <c r="D30" s="248"/>
      <c r="E30" s="248"/>
      <c r="F30" s="248"/>
      <c r="G30" s="248"/>
    </row>
    <row r="31" spans="1:7" ht="12.75">
      <c r="A31" t="s">
        <v>16</v>
      </c>
      <c r="B31" s="248">
        <v>42741912</v>
      </c>
      <c r="C31" s="249">
        <v>465155</v>
      </c>
      <c r="D31" s="248">
        <v>278171.35</v>
      </c>
      <c r="E31" s="248">
        <v>322000</v>
      </c>
      <c r="F31" s="248">
        <v>0</v>
      </c>
      <c r="G31" s="248">
        <v>1277969.12</v>
      </c>
    </row>
    <row r="32" spans="1:7" ht="12.75">
      <c r="A32" t="s">
        <v>17</v>
      </c>
      <c r="B32" s="248">
        <v>52393849</v>
      </c>
      <c r="C32" s="248">
        <f>102000+994500+161000</f>
        <v>1257500</v>
      </c>
      <c r="D32" s="248">
        <v>413497.91000000003</v>
      </c>
      <c r="E32" s="248">
        <v>105000</v>
      </c>
      <c r="F32" s="248">
        <v>0</v>
      </c>
      <c r="G32" s="248">
        <v>1484996.3500000238</v>
      </c>
    </row>
    <row r="33" spans="1:7" ht="12.75">
      <c r="A33" t="s">
        <v>18</v>
      </c>
      <c r="B33" s="248">
        <v>385882</v>
      </c>
      <c r="C33" s="248">
        <v>0</v>
      </c>
      <c r="D33" s="248">
        <v>339052.3</v>
      </c>
      <c r="E33" s="248">
        <v>0</v>
      </c>
      <c r="F33" s="248">
        <v>0</v>
      </c>
      <c r="G33" s="248">
        <v>603849.9499999993</v>
      </c>
    </row>
    <row r="34" spans="1:7" ht="12.75">
      <c r="A34" t="s">
        <v>19</v>
      </c>
      <c r="B34" s="248">
        <v>487125</v>
      </c>
      <c r="C34" s="248">
        <v>0</v>
      </c>
      <c r="D34" s="248">
        <v>319210.41</v>
      </c>
      <c r="E34" s="248">
        <v>0</v>
      </c>
      <c r="F34" s="248">
        <v>0</v>
      </c>
      <c r="G34" s="248">
        <v>249530.06999999983</v>
      </c>
    </row>
    <row r="35" spans="1:7" ht="12.75">
      <c r="A35" t="s">
        <v>20</v>
      </c>
      <c r="B35" s="248">
        <v>619586</v>
      </c>
      <c r="C35" s="248">
        <v>0</v>
      </c>
      <c r="D35" s="248">
        <v>10184</v>
      </c>
      <c r="E35" s="248">
        <v>0</v>
      </c>
      <c r="F35" s="248">
        <v>0</v>
      </c>
      <c r="G35" s="248">
        <v>176059.8200000003</v>
      </c>
    </row>
    <row r="36" spans="2:7" ht="12.75">
      <c r="B36" s="248"/>
      <c r="C36" s="248"/>
      <c r="D36" s="248"/>
      <c r="E36" s="248"/>
      <c r="F36" s="248"/>
      <c r="G36" s="248"/>
    </row>
    <row r="37" spans="1:7" ht="12.75">
      <c r="A37" t="s">
        <v>21</v>
      </c>
      <c r="B37" s="248">
        <v>495566</v>
      </c>
      <c r="C37" s="249">
        <v>4000</v>
      </c>
      <c r="D37" s="248">
        <v>103979.43000000001</v>
      </c>
      <c r="E37" s="248">
        <v>260406.23</v>
      </c>
      <c r="F37" s="248">
        <v>0</v>
      </c>
      <c r="G37" s="248">
        <v>74739.36999999918</v>
      </c>
    </row>
    <row r="38" spans="1:7" ht="12.75">
      <c r="A38" t="s">
        <v>22</v>
      </c>
      <c r="B38" s="248">
        <v>1841461</v>
      </c>
      <c r="C38" s="360">
        <v>46500</v>
      </c>
      <c r="D38" s="248">
        <v>295799.12</v>
      </c>
      <c r="E38" s="248">
        <v>0</v>
      </c>
      <c r="F38" s="248">
        <v>0</v>
      </c>
      <c r="G38" s="248">
        <v>387681.6899999976</v>
      </c>
    </row>
    <row r="39" spans="1:7" ht="12.75">
      <c r="A39" t="s">
        <v>23</v>
      </c>
      <c r="B39" s="248">
        <v>1794512</v>
      </c>
      <c r="C39" s="248">
        <v>89500</v>
      </c>
      <c r="D39" s="248">
        <v>29021.059999999998</v>
      </c>
      <c r="E39" s="248">
        <v>308185.56</v>
      </c>
      <c r="F39" s="248">
        <v>0</v>
      </c>
      <c r="G39" s="248">
        <v>430662.00999999046</v>
      </c>
    </row>
    <row r="40" spans="1:7" ht="12.75">
      <c r="A40" s="12" t="s">
        <v>24</v>
      </c>
      <c r="B40" s="230">
        <v>487863</v>
      </c>
      <c r="C40" s="230">
        <v>23162.31</v>
      </c>
      <c r="D40" s="230">
        <v>9586.49</v>
      </c>
      <c r="E40" s="230">
        <v>436007.88999999996</v>
      </c>
      <c r="F40" s="230">
        <v>0</v>
      </c>
      <c r="G40" s="230">
        <v>40105.48999999836</v>
      </c>
    </row>
  </sheetData>
  <sheetProtection password="CAF5" sheet="1" objects="1" scenarios="1"/>
  <mergeCells count="11">
    <mergeCell ref="D9:D10"/>
    <mergeCell ref="E8:E10"/>
    <mergeCell ref="F9:F10"/>
    <mergeCell ref="A1:G1"/>
    <mergeCell ref="A7:A10"/>
    <mergeCell ref="C7:C10"/>
    <mergeCell ref="G7:G10"/>
    <mergeCell ref="A5:G5"/>
    <mergeCell ref="A6:G6"/>
    <mergeCell ref="A3:G3"/>
    <mergeCell ref="B8:B10"/>
  </mergeCells>
  <printOptions horizontalCentered="1"/>
  <pageMargins left="0.27" right="0.25" top="0.83" bottom="1" header="0.67" footer="0.5"/>
  <pageSetup fitToHeight="1" fitToWidth="1" horizontalDpi="600" verticalDpi="600" orientation="landscape" scale="96" r:id="rId1"/>
  <headerFooter scaleWithDoc="0" alignWithMargins="0">
    <oddHeader>&amp;R&amp;"Arial,Bold"&amp;18
</oddHeader>
    <oddFooter>&amp;L&amp;"Arial,Italic"MSDE - LFRO   10 / 2011&amp;C- 10 -&amp;R&amp;"Arial,Italic"Selected Financial Data-Part 1&amp;9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7">
      <selection activeCell="B27" sqref="B27"/>
    </sheetView>
  </sheetViews>
  <sheetFormatPr defaultColWidth="9.140625" defaultRowHeight="12.75"/>
  <cols>
    <col min="1" max="1" width="21.8515625" style="0" customWidth="1"/>
    <col min="2" max="2" width="14.8515625" style="0" customWidth="1"/>
    <col min="3" max="3" width="5.421875" style="0" customWidth="1"/>
    <col min="4" max="4" width="18.28125" style="0" customWidth="1"/>
    <col min="5" max="5" width="5.140625" style="0" customWidth="1"/>
    <col min="6" max="6" width="18.00390625" style="0" customWidth="1"/>
    <col min="7" max="7" width="8.421875" style="0" customWidth="1"/>
    <col min="8" max="8" width="11.28125" style="0" customWidth="1"/>
    <col min="9" max="9" width="8.00390625" style="0" customWidth="1"/>
    <col min="10" max="10" width="11.28125" style="0" bestFit="1" customWidth="1"/>
  </cols>
  <sheetData>
    <row r="1" spans="1:10" ht="12.75">
      <c r="A1" s="403" t="s">
        <v>122</v>
      </c>
      <c r="B1" s="403"/>
      <c r="C1" s="403"/>
      <c r="D1" s="403"/>
      <c r="E1" s="403"/>
      <c r="F1" s="403"/>
      <c r="G1" s="403"/>
      <c r="H1" s="403"/>
      <c r="I1" s="403"/>
      <c r="J1" s="403"/>
    </row>
    <row r="3" spans="1:10" ht="12.75">
      <c r="A3" s="398" t="s">
        <v>247</v>
      </c>
      <c r="B3" s="402"/>
      <c r="C3" s="402"/>
      <c r="D3" s="402"/>
      <c r="E3" s="402"/>
      <c r="F3" s="402"/>
      <c r="G3" s="402"/>
      <c r="H3" s="402"/>
      <c r="I3" s="402"/>
      <c r="J3" s="402"/>
    </row>
    <row r="4" spans="1:10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5" ht="15" customHeight="1" thickTop="1">
      <c r="A5" s="3"/>
      <c r="B5" s="44" t="s">
        <v>113</v>
      </c>
      <c r="C5" s="44"/>
      <c r="D5" s="458"/>
      <c r="E5" s="458"/>
      <c r="F5" s="458"/>
      <c r="G5" s="458"/>
      <c r="H5" s="458"/>
      <c r="I5" s="4"/>
      <c r="K5" s="3"/>
      <c r="L5" s="3"/>
      <c r="M5" s="3"/>
      <c r="N5" s="3"/>
      <c r="O5" s="3"/>
    </row>
    <row r="6" spans="1:15" ht="12.75">
      <c r="A6" s="3" t="s">
        <v>80</v>
      </c>
      <c r="B6" s="458" t="s">
        <v>37</v>
      </c>
      <c r="C6" s="458"/>
      <c r="D6" s="458"/>
      <c r="E6" s="458"/>
      <c r="F6" s="4" t="s">
        <v>34</v>
      </c>
      <c r="G6" s="4"/>
      <c r="H6" s="4"/>
      <c r="I6" s="4"/>
      <c r="J6" s="4" t="s">
        <v>41</v>
      </c>
      <c r="K6" s="3"/>
      <c r="L6" s="3"/>
      <c r="M6" s="3"/>
      <c r="N6" s="3"/>
      <c r="O6" s="3"/>
    </row>
    <row r="7" spans="1:15" ht="12.75">
      <c r="A7" s="3" t="s">
        <v>33</v>
      </c>
      <c r="B7" s="458" t="s">
        <v>38</v>
      </c>
      <c r="C7" s="458"/>
      <c r="D7" s="458"/>
      <c r="E7" s="458"/>
      <c r="F7" s="4" t="s">
        <v>78</v>
      </c>
      <c r="G7" s="4"/>
      <c r="H7" s="4"/>
      <c r="I7" s="4"/>
      <c r="J7" s="4" t="s">
        <v>38</v>
      </c>
      <c r="K7" s="3"/>
      <c r="L7" s="3"/>
      <c r="M7" s="3"/>
      <c r="N7" s="3"/>
      <c r="O7" s="3"/>
    </row>
    <row r="8" spans="1:10" ht="13.5" thickBot="1">
      <c r="A8" s="7" t="s">
        <v>137</v>
      </c>
      <c r="B8" s="459" t="s">
        <v>48</v>
      </c>
      <c r="C8" s="459"/>
      <c r="D8" s="459"/>
      <c r="E8" s="459"/>
      <c r="F8" s="8" t="s">
        <v>48</v>
      </c>
      <c r="G8" s="8"/>
      <c r="H8" s="8"/>
      <c r="I8" s="8"/>
      <c r="J8" s="8" t="s">
        <v>48</v>
      </c>
    </row>
    <row r="9" spans="1:10" ht="12.75">
      <c r="A9" s="3" t="s">
        <v>0</v>
      </c>
      <c r="B9" s="293">
        <f>SUM(B11:B38)</f>
        <v>7319876.129999999</v>
      </c>
      <c r="C9" s="245"/>
      <c r="D9" s="251"/>
      <c r="E9" s="245"/>
      <c r="F9" s="293">
        <f>SUM(F11:F38)</f>
        <v>264345966.78</v>
      </c>
      <c r="G9" s="208"/>
      <c r="H9" s="208"/>
      <c r="I9" s="208"/>
      <c r="J9" s="208">
        <f>SUM(J11:J38)</f>
        <v>0</v>
      </c>
    </row>
    <row r="10" spans="1:10" ht="12.75">
      <c r="A10" s="3"/>
      <c r="B10" s="244"/>
      <c r="C10" s="244"/>
      <c r="D10" s="244"/>
      <c r="E10" s="244"/>
      <c r="F10" s="244"/>
      <c r="G10" s="157"/>
      <c r="H10" s="157"/>
      <c r="I10" s="157"/>
      <c r="J10" s="157"/>
    </row>
    <row r="11" spans="1:10" ht="12.75">
      <c r="A11" t="s">
        <v>1</v>
      </c>
      <c r="B11" s="248">
        <f>79480.94+124404.52</f>
        <v>203885.46000000002</v>
      </c>
      <c r="C11" s="264"/>
      <c r="D11" s="248"/>
      <c r="E11" s="248"/>
      <c r="F11" s="248">
        <v>404829</v>
      </c>
      <c r="G11" s="157"/>
      <c r="H11" s="157"/>
      <c r="I11" s="157"/>
      <c r="J11" s="157">
        <v>0</v>
      </c>
    </row>
    <row r="12" spans="1:10" ht="12.75">
      <c r="A12" t="s">
        <v>2</v>
      </c>
      <c r="B12" s="248">
        <v>450422</v>
      </c>
      <c r="C12" s="248"/>
      <c r="D12" s="364"/>
      <c r="E12" s="248"/>
      <c r="F12" s="248">
        <v>40970053</v>
      </c>
      <c r="G12" s="157"/>
      <c r="H12" s="157"/>
      <c r="I12" s="157"/>
      <c r="J12" s="157">
        <v>0</v>
      </c>
    </row>
    <row r="13" spans="1:10" ht="12.75">
      <c r="A13" t="s">
        <v>3</v>
      </c>
      <c r="B13" s="248">
        <v>814907.59</v>
      </c>
      <c r="C13" s="248"/>
      <c r="D13" s="364"/>
      <c r="E13" s="248"/>
      <c r="F13" s="248">
        <v>22029117.07</v>
      </c>
      <c r="G13" s="157"/>
      <c r="H13" s="157"/>
      <c r="I13" s="157"/>
      <c r="J13" s="157">
        <v>0</v>
      </c>
    </row>
    <row r="14" spans="1:10" ht="12.75">
      <c r="A14" t="s">
        <v>4</v>
      </c>
      <c r="B14" s="248">
        <v>830728</v>
      </c>
      <c r="C14" s="248"/>
      <c r="D14" s="364"/>
      <c r="E14" s="248"/>
      <c r="F14" s="248">
        <v>24203297</v>
      </c>
      <c r="G14" s="157"/>
      <c r="H14" s="157"/>
      <c r="I14" s="157"/>
      <c r="J14" s="157">
        <v>0</v>
      </c>
    </row>
    <row r="15" spans="1:10" ht="12.75">
      <c r="A15" t="s">
        <v>5</v>
      </c>
      <c r="B15" s="248">
        <v>35100.55</v>
      </c>
      <c r="C15" s="248"/>
      <c r="D15" s="364"/>
      <c r="E15" s="248"/>
      <c r="F15" s="248">
        <v>5617474</v>
      </c>
      <c r="G15" s="157"/>
      <c r="H15" s="157"/>
      <c r="I15" s="157"/>
      <c r="J15" s="157">
        <v>0</v>
      </c>
    </row>
    <row r="16" spans="2:10" ht="12.75">
      <c r="B16" s="248"/>
      <c r="C16" s="248"/>
      <c r="D16" s="248"/>
      <c r="E16" s="248"/>
      <c r="F16" s="248"/>
      <c r="G16" s="157"/>
      <c r="H16" s="157"/>
      <c r="I16" s="157"/>
      <c r="J16" s="157"/>
    </row>
    <row r="17" spans="1:10" ht="12.75">
      <c r="A17" t="s">
        <v>6</v>
      </c>
      <c r="B17" s="248">
        <v>45831.07</v>
      </c>
      <c r="C17" s="248"/>
      <c r="D17" s="364"/>
      <c r="E17" s="248"/>
      <c r="F17" s="248">
        <v>10748301.9</v>
      </c>
      <c r="G17" s="157"/>
      <c r="H17" s="157"/>
      <c r="I17" s="157"/>
      <c r="J17" s="157">
        <v>0</v>
      </c>
    </row>
    <row r="18" spans="1:10" ht="12.75">
      <c r="A18" t="s">
        <v>7</v>
      </c>
      <c r="B18" s="248">
        <v>59150.3</v>
      </c>
      <c r="C18" s="248"/>
      <c r="D18" s="364"/>
      <c r="E18" s="248"/>
      <c r="F18" s="248">
        <v>10243800.86</v>
      </c>
      <c r="G18" s="157"/>
      <c r="H18" s="157"/>
      <c r="I18" s="157"/>
      <c r="J18" s="157">
        <v>0</v>
      </c>
    </row>
    <row r="19" spans="1:10" ht="12.75">
      <c r="A19" t="s">
        <v>8</v>
      </c>
      <c r="B19" s="248">
        <v>253811.47</v>
      </c>
      <c r="C19" s="248"/>
      <c r="D19" s="364"/>
      <c r="E19" s="248"/>
      <c r="F19" s="248">
        <v>3670654.6</v>
      </c>
      <c r="G19" s="157"/>
      <c r="H19" s="157"/>
      <c r="I19" s="157"/>
      <c r="J19" s="157">
        <v>0</v>
      </c>
    </row>
    <row r="20" spans="1:10" ht="12.75">
      <c r="A20" t="s">
        <v>9</v>
      </c>
      <c r="B20" s="248">
        <v>176616.41</v>
      </c>
      <c r="C20" s="248"/>
      <c r="D20" s="364"/>
      <c r="E20" s="248"/>
      <c r="F20" s="248">
        <v>11423348.8</v>
      </c>
      <c r="G20" s="157"/>
      <c r="H20" s="157"/>
      <c r="I20" s="157"/>
      <c r="J20" s="157">
        <v>0</v>
      </c>
    </row>
    <row r="21" spans="1:10" ht="12.75">
      <c r="A21" t="s">
        <v>10</v>
      </c>
      <c r="B21" s="248">
        <v>99193</v>
      </c>
      <c r="C21" s="248"/>
      <c r="D21" s="364"/>
      <c r="E21" s="248"/>
      <c r="F21" s="248">
        <v>7836575</v>
      </c>
      <c r="G21" s="157"/>
      <c r="H21" s="157"/>
      <c r="I21" s="157"/>
      <c r="J21" s="157">
        <v>0</v>
      </c>
    </row>
    <row r="22" spans="2:10" ht="12.75">
      <c r="B22" s="248"/>
      <c r="C22" s="248"/>
      <c r="D22" s="248"/>
      <c r="E22" s="248"/>
      <c r="F22" s="248"/>
      <c r="G22" s="157"/>
      <c r="H22" s="157"/>
      <c r="I22" s="157"/>
      <c r="J22" s="157"/>
    </row>
    <row r="23" spans="1:10" ht="12.75">
      <c r="A23" t="s">
        <v>11</v>
      </c>
      <c r="B23" s="248">
        <v>234597.83</v>
      </c>
      <c r="C23" s="248"/>
      <c r="D23" s="364"/>
      <c r="E23" s="248"/>
      <c r="F23" s="248">
        <f>17035780-52703</f>
        <v>16983077</v>
      </c>
      <c r="G23" s="157"/>
      <c r="H23" s="157"/>
      <c r="I23" s="157"/>
      <c r="J23" s="157">
        <v>0</v>
      </c>
    </row>
    <row r="24" spans="1:10" ht="12.75">
      <c r="A24" t="s">
        <v>12</v>
      </c>
      <c r="B24" s="248">
        <v>87221</v>
      </c>
      <c r="C24" s="248"/>
      <c r="D24" s="364"/>
      <c r="E24" s="248"/>
      <c r="F24" s="248">
        <v>0</v>
      </c>
      <c r="G24" s="157"/>
      <c r="H24" s="157"/>
      <c r="I24" s="157"/>
      <c r="J24" s="157">
        <v>0</v>
      </c>
    </row>
    <row r="25" spans="1:10" ht="12.75">
      <c r="A25" t="s">
        <v>13</v>
      </c>
      <c r="B25" s="248">
        <v>277745</v>
      </c>
      <c r="C25" s="248"/>
      <c r="D25" s="364"/>
      <c r="E25" s="248"/>
      <c r="F25" s="248">
        <v>17377596</v>
      </c>
      <c r="G25" s="157"/>
      <c r="H25" s="157"/>
      <c r="I25" s="157"/>
      <c r="J25" s="157">
        <v>0</v>
      </c>
    </row>
    <row r="26" spans="1:10" ht="12.75">
      <c r="A26" t="s">
        <v>14</v>
      </c>
      <c r="B26" s="248">
        <v>103288</v>
      </c>
      <c r="C26" s="248"/>
      <c r="D26" s="364"/>
      <c r="E26" s="248"/>
      <c r="F26" s="248">
        <v>19516929</v>
      </c>
      <c r="G26" s="157"/>
      <c r="H26" s="157"/>
      <c r="I26" s="157"/>
      <c r="J26" s="157">
        <v>0</v>
      </c>
    </row>
    <row r="27" spans="1:10" ht="12.75">
      <c r="A27" t="s">
        <v>15</v>
      </c>
      <c r="B27" s="248">
        <v>65088</v>
      </c>
      <c r="C27" s="248"/>
      <c r="D27" s="364"/>
      <c r="E27" s="248"/>
      <c r="F27" s="248">
        <v>0</v>
      </c>
      <c r="G27" s="157"/>
      <c r="H27" s="157"/>
      <c r="I27" s="157"/>
      <c r="J27" s="157">
        <v>0</v>
      </c>
    </row>
    <row r="28" spans="2:10" ht="12.75">
      <c r="B28" s="248"/>
      <c r="C28" s="248"/>
      <c r="D28" s="248"/>
      <c r="E28" s="248"/>
      <c r="F28" s="248"/>
      <c r="G28" s="157"/>
      <c r="H28" s="157"/>
      <c r="I28" s="157"/>
      <c r="J28" s="157"/>
    </row>
    <row r="29" spans="1:10" ht="12.75">
      <c r="A29" t="s">
        <v>16</v>
      </c>
      <c r="B29" s="248">
        <v>1004518</v>
      </c>
      <c r="C29" s="248"/>
      <c r="D29" s="364"/>
      <c r="E29" s="248"/>
      <c r="F29" s="360">
        <v>30112097</v>
      </c>
      <c r="G29" s="157"/>
      <c r="H29" s="157"/>
      <c r="I29" s="157"/>
      <c r="J29" s="157">
        <v>0</v>
      </c>
    </row>
    <row r="30" spans="1:10" ht="12.75">
      <c r="A30" t="s">
        <v>17</v>
      </c>
      <c r="B30" s="248">
        <v>1375695</v>
      </c>
      <c r="C30" s="248"/>
      <c r="D30" s="364"/>
      <c r="E30" s="248"/>
      <c r="F30" s="360">
        <v>9643229</v>
      </c>
      <c r="G30" s="157"/>
      <c r="H30" s="157"/>
      <c r="I30" s="157"/>
      <c r="J30" s="157">
        <v>0</v>
      </c>
    </row>
    <row r="31" spans="1:10" ht="12.75">
      <c r="A31" t="s">
        <v>18</v>
      </c>
      <c r="B31" s="248">
        <v>64651.63</v>
      </c>
      <c r="C31" s="248"/>
      <c r="D31" s="364"/>
      <c r="E31" s="248"/>
      <c r="F31" s="360">
        <f>1078170.77+72652.5</f>
        <v>1150823.27</v>
      </c>
      <c r="G31" s="340"/>
      <c r="H31" s="157"/>
      <c r="I31" s="157"/>
      <c r="J31" s="157">
        <v>0</v>
      </c>
    </row>
    <row r="32" spans="1:10" ht="12.75">
      <c r="A32" t="s">
        <v>19</v>
      </c>
      <c r="B32" s="248">
        <v>217260.93</v>
      </c>
      <c r="C32" s="248"/>
      <c r="D32" s="364"/>
      <c r="E32" s="248"/>
      <c r="F32" s="360">
        <v>3257684.28</v>
      </c>
      <c r="G32" s="157"/>
      <c r="H32" s="157"/>
      <c r="I32" s="157"/>
      <c r="J32" s="157">
        <v>0</v>
      </c>
    </row>
    <row r="33" spans="1:10" ht="12.75">
      <c r="A33" t="s">
        <v>20</v>
      </c>
      <c r="B33" s="248">
        <v>104463.75</v>
      </c>
      <c r="C33" s="248"/>
      <c r="D33" s="364"/>
      <c r="E33" s="248"/>
      <c r="F33" s="360">
        <v>6000000</v>
      </c>
      <c r="G33" s="157"/>
      <c r="H33" s="157"/>
      <c r="I33" s="157"/>
      <c r="J33" s="157">
        <v>0</v>
      </c>
    </row>
    <row r="34" spans="2:10" ht="12.75">
      <c r="B34" s="248"/>
      <c r="C34" s="248"/>
      <c r="D34" s="248"/>
      <c r="E34" s="248"/>
      <c r="F34" s="248"/>
      <c r="G34" s="157"/>
      <c r="H34" s="157"/>
      <c r="I34" s="157"/>
      <c r="J34" s="157"/>
    </row>
    <row r="35" spans="1:10" ht="12.75">
      <c r="A35" t="s">
        <v>21</v>
      </c>
      <c r="B35" s="248">
        <v>77304.76</v>
      </c>
      <c r="C35" s="248"/>
      <c r="D35" s="364"/>
      <c r="E35" s="248"/>
      <c r="F35" s="248">
        <v>34020</v>
      </c>
      <c r="G35" s="157"/>
      <c r="H35" s="157"/>
      <c r="I35" s="157"/>
      <c r="J35" s="157">
        <v>0</v>
      </c>
    </row>
    <row r="36" spans="1:10" ht="12.75">
      <c r="A36" t="s">
        <v>22</v>
      </c>
      <c r="B36" s="248">
        <v>499943.63</v>
      </c>
      <c r="C36" s="248"/>
      <c r="D36" s="364"/>
      <c r="E36" s="248"/>
      <c r="F36" s="248">
        <v>9953060</v>
      </c>
      <c r="G36" s="157"/>
      <c r="H36" s="157"/>
      <c r="I36" s="157"/>
      <c r="J36" s="157">
        <v>0</v>
      </c>
    </row>
    <row r="37" spans="1:10" ht="12.75">
      <c r="A37" t="s">
        <v>23</v>
      </c>
      <c r="B37" s="248">
        <f>89880.74+112008.66</f>
        <v>201889.40000000002</v>
      </c>
      <c r="C37" s="264"/>
      <c r="D37" s="365"/>
      <c r="E37" s="248"/>
      <c r="F37" s="248">
        <v>13170000</v>
      </c>
      <c r="G37" s="157"/>
      <c r="H37" s="157"/>
      <c r="I37" s="157"/>
      <c r="J37" s="157">
        <v>0</v>
      </c>
    </row>
    <row r="38" spans="1:10" ht="12.75">
      <c r="A38" s="12" t="s">
        <v>24</v>
      </c>
      <c r="B38" s="366">
        <v>36563.35</v>
      </c>
      <c r="C38" s="366"/>
      <c r="D38" s="366"/>
      <c r="E38" s="230"/>
      <c r="F38" s="230">
        <v>0</v>
      </c>
      <c r="G38" s="159"/>
      <c r="H38" s="159"/>
      <c r="I38" s="159"/>
      <c r="J38" s="159">
        <v>0</v>
      </c>
    </row>
    <row r="39" spans="6:7" ht="12.75">
      <c r="F39" s="5"/>
      <c r="G39" s="5"/>
    </row>
    <row r="40" spans="6:7" ht="12.75">
      <c r="F40" s="5"/>
      <c r="G40" s="5"/>
    </row>
    <row r="41" spans="6:7" ht="12.75">
      <c r="F41" s="5"/>
      <c r="G41" s="5"/>
    </row>
  </sheetData>
  <sheetProtection password="CAF5" sheet="1" objects="1" scenarios="1"/>
  <mergeCells count="9">
    <mergeCell ref="A1:J1"/>
    <mergeCell ref="A3:J3"/>
    <mergeCell ref="D5:H5"/>
    <mergeCell ref="B8:C8"/>
    <mergeCell ref="B7:C7"/>
    <mergeCell ref="B6:C6"/>
    <mergeCell ref="D8:E8"/>
    <mergeCell ref="D7:E7"/>
    <mergeCell ref="D6:E6"/>
  </mergeCells>
  <printOptions horizontalCentered="1"/>
  <pageMargins left="0.56" right="0.55" top="0.83" bottom="1" header="0.67" footer="0.5"/>
  <pageSetup fitToHeight="1" fitToWidth="1" horizontalDpi="600" verticalDpi="600" orientation="landscape" r:id="rId1"/>
  <headerFooter scaleWithDoc="0" alignWithMargins="0">
    <oddFooter>&amp;L&amp;"Arial,Italic"MSDE - LFRO   10 / 2011&amp;C- 11 -&amp;R&amp;"Arial,Italic"Selected Financial Data-Part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6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17.00390625" style="3" customWidth="1"/>
    <col min="2" max="2" width="16.00390625" style="232" bestFit="1" customWidth="1"/>
    <col min="3" max="3" width="14.7109375" style="232" customWidth="1"/>
    <col min="4" max="4" width="13.8515625" style="232" bestFit="1" customWidth="1"/>
    <col min="5" max="6" width="14.7109375" style="235" customWidth="1"/>
    <col min="7" max="7" width="12.8515625" style="232" bestFit="1" customWidth="1"/>
    <col min="8" max="10" width="12.8515625" style="232" customWidth="1"/>
    <col min="11" max="11" width="11.28125" style="232" bestFit="1" customWidth="1"/>
    <col min="12" max="12" width="14.7109375" style="3" customWidth="1"/>
    <col min="13" max="13" width="12.421875" style="3" customWidth="1"/>
    <col min="14" max="14" width="14.00390625" style="3" customWidth="1"/>
    <col min="15" max="16384" width="9.140625" style="3" customWidth="1"/>
  </cols>
  <sheetData>
    <row r="1" spans="1:11" ht="12.75">
      <c r="A1" s="458" t="s">
        <v>123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12.75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3" spans="1:11" ht="12.75">
      <c r="A3" s="464" t="s">
        <v>249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</row>
    <row r="4" ht="13.5" thickBot="1">
      <c r="F4" s="346"/>
    </row>
    <row r="5" spans="1:11" ht="15" customHeight="1" thickTop="1">
      <c r="A5" s="6"/>
      <c r="B5" s="233"/>
      <c r="C5" s="233"/>
      <c r="D5" s="260"/>
      <c r="E5" s="261"/>
      <c r="F5" s="468" t="s">
        <v>248</v>
      </c>
      <c r="G5" s="463"/>
      <c r="H5" s="463"/>
      <c r="I5" s="463"/>
      <c r="J5" s="463"/>
      <c r="K5" s="463"/>
    </row>
    <row r="6" spans="4:11" ht="12.75">
      <c r="D6" s="255"/>
      <c r="E6" s="256" t="s">
        <v>141</v>
      </c>
      <c r="F6" s="469"/>
      <c r="G6" s="460" t="s">
        <v>250</v>
      </c>
      <c r="H6" s="460"/>
      <c r="I6" s="460"/>
      <c r="J6" s="460"/>
      <c r="K6" s="460"/>
    </row>
    <row r="7" spans="1:11" ht="12.75" customHeight="1">
      <c r="A7" s="3" t="s">
        <v>80</v>
      </c>
      <c r="B7" s="255" t="s">
        <v>43</v>
      </c>
      <c r="C7" s="465" t="s">
        <v>232</v>
      </c>
      <c r="D7" s="255" t="s">
        <v>139</v>
      </c>
      <c r="E7" s="461" t="s">
        <v>186</v>
      </c>
      <c r="F7" s="469"/>
      <c r="G7" s="255"/>
      <c r="H7" s="255"/>
      <c r="I7" s="255"/>
      <c r="J7" s="255"/>
      <c r="K7" s="255" t="s">
        <v>71</v>
      </c>
    </row>
    <row r="8" spans="1:11" ht="12.75" customHeight="1">
      <c r="A8" s="3" t="s">
        <v>33</v>
      </c>
      <c r="B8" s="255" t="s">
        <v>51</v>
      </c>
      <c r="C8" s="465"/>
      <c r="D8" s="255" t="s">
        <v>33</v>
      </c>
      <c r="E8" s="461"/>
      <c r="F8" s="469"/>
      <c r="G8" s="255" t="s">
        <v>70</v>
      </c>
      <c r="H8" s="255" t="s">
        <v>44</v>
      </c>
      <c r="I8" s="255" t="s">
        <v>252</v>
      </c>
      <c r="J8" s="467" t="s">
        <v>251</v>
      </c>
      <c r="K8" s="255" t="s">
        <v>72</v>
      </c>
    </row>
    <row r="9" spans="1:11" ht="13.5" thickBot="1">
      <c r="A9" s="7" t="s">
        <v>137</v>
      </c>
      <c r="B9" s="257" t="s">
        <v>45</v>
      </c>
      <c r="C9" s="466"/>
      <c r="D9" s="257" t="s">
        <v>55</v>
      </c>
      <c r="E9" s="462"/>
      <c r="F9" s="470"/>
      <c r="G9" s="257" t="s">
        <v>63</v>
      </c>
      <c r="H9" s="257" t="s">
        <v>61</v>
      </c>
      <c r="I9" s="257" t="s">
        <v>253</v>
      </c>
      <c r="J9" s="427"/>
      <c r="K9" s="257" t="s">
        <v>33</v>
      </c>
    </row>
    <row r="10" spans="1:11" s="345" customFormat="1" ht="12.75">
      <c r="A10" s="344" t="s">
        <v>0</v>
      </c>
      <c r="B10" s="268">
        <f aca="true" t="shared" si="0" ref="B10:K10">SUM(B12:B39)</f>
        <v>1039049097.53</v>
      </c>
      <c r="C10" s="268">
        <f t="shared" si="0"/>
        <v>6057.58</v>
      </c>
      <c r="D10" s="268">
        <f t="shared" si="0"/>
        <v>256133.05</v>
      </c>
      <c r="E10" s="268">
        <f t="shared" si="0"/>
        <v>133650.44</v>
      </c>
      <c r="F10" s="268">
        <f t="shared" si="0"/>
        <v>7913095.269999999</v>
      </c>
      <c r="G10" s="268">
        <f t="shared" si="0"/>
        <v>8714465.42</v>
      </c>
      <c r="H10" s="268">
        <f t="shared" si="0"/>
        <v>187685.8</v>
      </c>
      <c r="I10" s="268">
        <f t="shared" si="0"/>
        <v>102179.27</v>
      </c>
      <c r="J10" s="268">
        <f t="shared" si="0"/>
        <v>548343.25</v>
      </c>
      <c r="K10" s="268">
        <f t="shared" si="0"/>
        <v>946855.09</v>
      </c>
    </row>
    <row r="11" spans="2:11" ht="12.75">
      <c r="B11" s="361"/>
      <c r="C11" s="361"/>
      <c r="D11" s="269"/>
      <c r="E11" s="362"/>
      <c r="F11" s="362"/>
      <c r="G11" s="269"/>
      <c r="H11" s="269"/>
      <c r="I11" s="269"/>
      <c r="J11" s="269"/>
      <c r="K11" s="269"/>
    </row>
    <row r="12" spans="1:37" ht="12.75">
      <c r="A12" s="3" t="s">
        <v>1</v>
      </c>
      <c r="B12" s="297">
        <f>SUM(C12:K12)+SUM(fed2!B12:K12)+SUM(fed3!B12:L12)+SUM(fed4!B12:K12)+SUM(fed5!B12:K12)</f>
        <v>14147501.020000001</v>
      </c>
      <c r="C12" s="297">
        <v>0</v>
      </c>
      <c r="D12" s="229">
        <v>0</v>
      </c>
      <c r="E12" s="229">
        <v>0</v>
      </c>
      <c r="F12" s="229">
        <v>0</v>
      </c>
      <c r="G12" s="229">
        <v>126875</v>
      </c>
      <c r="H12" s="229">
        <v>0</v>
      </c>
      <c r="I12" s="229">
        <v>0</v>
      </c>
      <c r="J12" s="229">
        <v>46933.25</v>
      </c>
      <c r="K12" s="229">
        <v>14309</v>
      </c>
      <c r="L12" s="2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>
      <c r="A13" s="3" t="s">
        <v>2</v>
      </c>
      <c r="B13" s="297">
        <f>SUM(C13:K13)+SUM(fed2!B13:K13)+SUM(fed3!B13:L13)+SUM(fed4!B13:K13)+SUM(fed5!B13:K13)</f>
        <v>67865600.25</v>
      </c>
      <c r="C13" s="297">
        <v>0</v>
      </c>
      <c r="D13" s="229">
        <v>0</v>
      </c>
      <c r="E13" s="229">
        <v>9289.05</v>
      </c>
      <c r="F13" s="229">
        <v>278999.51</v>
      </c>
      <c r="G13" s="236">
        <v>573447.91</v>
      </c>
      <c r="H13" s="236">
        <v>46018.01</v>
      </c>
      <c r="I13" s="229">
        <v>0</v>
      </c>
      <c r="J13" s="236">
        <v>61093.6</v>
      </c>
      <c r="K13" s="236">
        <v>64421.12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>
      <c r="A14" s="3" t="s">
        <v>3</v>
      </c>
      <c r="B14" s="297">
        <f>SUM(C14:K14)+SUM(fed2!B14:K14)+SUM(fed3!B14:L14)+SUM(fed4!B14:K14)+SUM(fed5!B14:K14)</f>
        <v>232318345.58000004</v>
      </c>
      <c r="C14" s="297">
        <v>0</v>
      </c>
      <c r="D14" s="229">
        <v>0</v>
      </c>
      <c r="E14" s="229">
        <v>1327</v>
      </c>
      <c r="F14" s="229">
        <v>452714.58999999997</v>
      </c>
      <c r="G14" s="229">
        <v>2077636.29</v>
      </c>
      <c r="H14" s="229">
        <v>12630</v>
      </c>
      <c r="I14" s="229">
        <v>0</v>
      </c>
      <c r="J14" s="229">
        <v>0</v>
      </c>
      <c r="K14" s="229">
        <v>235351.05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>
      <c r="A15" s="3" t="s">
        <v>4</v>
      </c>
      <c r="B15" s="297">
        <f>SUM(C15:K15)+SUM(fed2!B15:K15)+SUM(fed3!B15:L15)+SUM(fed4!B15:K15)+SUM(fed5!B15:K15)</f>
        <v>113744991.46</v>
      </c>
      <c r="C15" s="297">
        <v>0</v>
      </c>
      <c r="D15" s="355">
        <v>634.15</v>
      </c>
      <c r="E15" s="229">
        <v>2592</v>
      </c>
      <c r="F15" s="229">
        <v>556760.97</v>
      </c>
      <c r="G15" s="229">
        <v>1044798.75</v>
      </c>
      <c r="H15" s="229">
        <v>37038.1</v>
      </c>
      <c r="I15" s="229">
        <v>0</v>
      </c>
      <c r="J15" s="229">
        <v>85842.62</v>
      </c>
      <c r="K15" s="229">
        <v>119016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3.5" customHeight="1">
      <c r="A16" s="3" t="s">
        <v>5</v>
      </c>
      <c r="B16" s="297">
        <f>SUM(C16:K16)+SUM(fed2!B16:K16)+SUM(fed3!B16:L16)+SUM(fed4!B16:K16)+SUM(fed5!B16:K16)</f>
        <v>11882053.66</v>
      </c>
      <c r="C16" s="297">
        <v>0</v>
      </c>
      <c r="D16" s="229">
        <v>105690</v>
      </c>
      <c r="E16" s="229">
        <v>4268</v>
      </c>
      <c r="F16" s="229">
        <v>42392.69</v>
      </c>
      <c r="G16" s="229">
        <v>103935.82</v>
      </c>
      <c r="H16" s="229">
        <v>0</v>
      </c>
      <c r="I16" s="229">
        <v>0</v>
      </c>
      <c r="J16" s="229">
        <v>25827.63</v>
      </c>
      <c r="K16" s="229">
        <v>11775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2:37" ht="13.5" customHeight="1">
      <c r="B17" s="297"/>
      <c r="C17" s="297"/>
      <c r="D17" s="229"/>
      <c r="E17" s="263"/>
      <c r="F17" s="263"/>
      <c r="G17" s="229"/>
      <c r="H17" s="229"/>
      <c r="I17" s="229"/>
      <c r="J17" s="229"/>
      <c r="K17" s="229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>
      <c r="A18" s="3" t="s">
        <v>6</v>
      </c>
      <c r="B18" s="297">
        <f>SUM(C18:K18)+SUM(fed2!B18:K18)+SUM(fed3!B18:L18)+SUM(fed4!B18:K18)+SUM(fed5!B18:K18)</f>
        <v>8297649.54</v>
      </c>
      <c r="C18" s="297">
        <v>0</v>
      </c>
      <c r="D18" s="229">
        <v>0</v>
      </c>
      <c r="E18" s="229">
        <v>2670.21</v>
      </c>
      <c r="F18" s="229">
        <v>30529.21</v>
      </c>
      <c r="G18" s="229">
        <v>71016</v>
      </c>
      <c r="H18" s="229">
        <v>6500</v>
      </c>
      <c r="I18" s="229">
        <v>0</v>
      </c>
      <c r="J18" s="229">
        <v>13965</v>
      </c>
      <c r="K18" s="229">
        <v>8009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>
      <c r="A19" s="3" t="s">
        <v>7</v>
      </c>
      <c r="B19" s="297">
        <f>SUM(C19:K19)+SUM(fed2!B19:K19)+SUM(fed3!B19:L19)+SUM(fed4!B19:K19)+SUM(fed5!B19:K19)</f>
        <v>17734611.69</v>
      </c>
      <c r="C19" s="297">
        <v>0</v>
      </c>
      <c r="D19" s="229">
        <v>0</v>
      </c>
      <c r="E19" s="229">
        <v>843.01</v>
      </c>
      <c r="F19" s="229">
        <v>32762.09</v>
      </c>
      <c r="G19" s="229">
        <v>172211</v>
      </c>
      <c r="H19" s="229">
        <v>17648.33</v>
      </c>
      <c r="I19" s="229">
        <v>0</v>
      </c>
      <c r="J19" s="229">
        <v>65329.89</v>
      </c>
      <c r="K19" s="229">
        <v>19422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>
      <c r="A20" s="3" t="s">
        <v>8</v>
      </c>
      <c r="B20" s="297">
        <f>SUM(C20:K20)+SUM(fed2!B20:K20)+SUM(fed3!B20:L20)+SUM(fed4!B20:K20)+SUM(fed5!B20:K20)</f>
        <v>16260647.32</v>
      </c>
      <c r="C20" s="297">
        <v>0</v>
      </c>
      <c r="D20" s="229">
        <v>0</v>
      </c>
      <c r="E20" s="236">
        <v>98</v>
      </c>
      <c r="F20" s="236">
        <v>15621.509999999998</v>
      </c>
      <c r="G20" s="236">
        <v>206010.46</v>
      </c>
      <c r="H20" s="236">
        <v>7931.62</v>
      </c>
      <c r="I20" s="229">
        <v>0</v>
      </c>
      <c r="J20" s="236">
        <v>0</v>
      </c>
      <c r="K20" s="236">
        <v>19380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>
      <c r="A21" s="3" t="s">
        <v>9</v>
      </c>
      <c r="B21" s="297">
        <f>SUM(C21:K21)+SUM(fed2!B21:K21)+SUM(fed3!B21:L21)+SUM(fed4!B21:K21)+SUM(fed5!B21:K21)</f>
        <v>23266382.770000003</v>
      </c>
      <c r="C21" s="297">
        <v>0</v>
      </c>
      <c r="D21" s="229">
        <v>0</v>
      </c>
      <c r="E21" s="236">
        <v>148</v>
      </c>
      <c r="F21" s="236">
        <v>34712.31</v>
      </c>
      <c r="G21" s="229">
        <v>190700</v>
      </c>
      <c r="H21" s="229">
        <v>0</v>
      </c>
      <c r="I21" s="229">
        <v>43176.24</v>
      </c>
      <c r="J21" s="229">
        <v>42674.44</v>
      </c>
      <c r="K21" s="229">
        <v>21507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>
      <c r="A22" s="3" t="s">
        <v>10</v>
      </c>
      <c r="B22" s="297">
        <f>SUM(C22:K22)+SUM(fed2!B22:K22)+SUM(fed3!B22:L22)+SUM(fed4!B22:K22)+SUM(fed5!B22:K22)</f>
        <v>7444990.989999999</v>
      </c>
      <c r="C22" s="297">
        <v>0</v>
      </c>
      <c r="D22" s="229">
        <v>0</v>
      </c>
      <c r="E22" s="229">
        <v>51</v>
      </c>
      <c r="F22" s="229">
        <v>17625.01</v>
      </c>
      <c r="G22" s="229">
        <v>73039</v>
      </c>
      <c r="H22" s="229">
        <v>0</v>
      </c>
      <c r="I22" s="229">
        <v>0</v>
      </c>
      <c r="J22" s="229">
        <v>0</v>
      </c>
      <c r="K22" s="229">
        <v>8237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2:37" ht="12.75">
      <c r="B23" s="297"/>
      <c r="C23" s="271"/>
      <c r="D23" s="229"/>
      <c r="E23" s="263"/>
      <c r="F23" s="263"/>
      <c r="G23" s="229"/>
      <c r="H23" s="229"/>
      <c r="I23" s="229"/>
      <c r="J23" s="229"/>
      <c r="K23" s="229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>
      <c r="A24" s="3" t="s">
        <v>11</v>
      </c>
      <c r="B24" s="297">
        <f>SUM(C24:K24)+SUM(fed2!B24:K24)+SUM(fed3!B24:L24)+SUM(fed4!B24:K24)+SUM(fed5!B24:K24)</f>
        <v>29909977.839999996</v>
      </c>
      <c r="C24" s="297">
        <v>0</v>
      </c>
      <c r="D24" s="229">
        <v>0</v>
      </c>
      <c r="E24" s="236">
        <v>1051</v>
      </c>
      <c r="F24" s="236">
        <v>244251</v>
      </c>
      <c r="G24" s="229">
        <v>265186.3</v>
      </c>
      <c r="H24" s="229">
        <v>0</v>
      </c>
      <c r="I24" s="229">
        <v>0</v>
      </c>
      <c r="J24" s="229">
        <v>20000</v>
      </c>
      <c r="K24" s="229">
        <v>26005.31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>
      <c r="A25" s="3" t="s">
        <v>12</v>
      </c>
      <c r="B25" s="297">
        <f>SUM(C25:K25)+SUM(fed2!B25:K25)+SUM(fed3!B25:L25)+SUM(fed4!B25:K25)+SUM(fed5!B25:K25)</f>
        <v>6850010.34</v>
      </c>
      <c r="C25" s="297">
        <v>0</v>
      </c>
      <c r="D25" s="229">
        <v>0</v>
      </c>
      <c r="E25" s="359">
        <v>0</v>
      </c>
      <c r="F25" s="359">
        <v>0</v>
      </c>
      <c r="G25" s="229">
        <v>67248</v>
      </c>
      <c r="H25" s="229">
        <v>0</v>
      </c>
      <c r="I25" s="229">
        <v>0</v>
      </c>
      <c r="J25" s="229">
        <v>5355.01</v>
      </c>
      <c r="K25" s="229">
        <v>6134.32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>
      <c r="A26" s="3" t="s">
        <v>13</v>
      </c>
      <c r="B26" s="297">
        <f>SUM(C26:K26)+SUM(fed2!B26:K26)+SUM(fed3!B26:L26)+SUM(fed4!B26:K26)+SUM(fed5!B26:K26)</f>
        <v>32964305.990000006</v>
      </c>
      <c r="C26" s="297">
        <v>0</v>
      </c>
      <c r="D26" s="229">
        <v>0</v>
      </c>
      <c r="E26" s="236">
        <v>390</v>
      </c>
      <c r="F26" s="236">
        <v>103055.25</v>
      </c>
      <c r="G26" s="236">
        <v>289530</v>
      </c>
      <c r="H26" s="236">
        <v>6308.13</v>
      </c>
      <c r="I26" s="236">
        <v>20000</v>
      </c>
      <c r="J26" s="236">
        <v>79577.6</v>
      </c>
      <c r="K26" s="236">
        <v>32653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>
      <c r="A27" s="3" t="s">
        <v>14</v>
      </c>
      <c r="B27" s="297">
        <f>SUM(C27:K27)+SUM(fed2!B27:K27)+SUM(fed3!B27:L27)+SUM(fed4!B27:K27)+SUM(fed5!B27:K27)</f>
        <v>30817762.089999996</v>
      </c>
      <c r="C27" s="297">
        <v>0</v>
      </c>
      <c r="D27" s="229">
        <v>0</v>
      </c>
      <c r="E27" s="236">
        <v>1485</v>
      </c>
      <c r="F27" s="236">
        <v>332928.57999999996</v>
      </c>
      <c r="G27" s="236">
        <v>278865.46</v>
      </c>
      <c r="H27" s="236">
        <v>0</v>
      </c>
      <c r="I27" s="236">
        <v>4586.21</v>
      </c>
      <c r="J27" s="236">
        <v>0</v>
      </c>
      <c r="K27" s="236">
        <v>31358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>
      <c r="A28" s="3" t="s">
        <v>15</v>
      </c>
      <c r="B28" s="297">
        <f>SUM(C28:K28)+SUM(fed2!B28:K28)+SUM(fed3!B28:L28)+SUM(fed4!B28:K28)+SUM(fed5!B28:K28)</f>
        <v>4601494.850000001</v>
      </c>
      <c r="C28" s="297">
        <v>0</v>
      </c>
      <c r="D28" s="297">
        <v>0</v>
      </c>
      <c r="E28" s="236">
        <v>51</v>
      </c>
      <c r="F28" s="236">
        <v>13521</v>
      </c>
      <c r="G28" s="236">
        <v>32879</v>
      </c>
      <c r="H28" s="236">
        <v>27726.74</v>
      </c>
      <c r="I28" s="236">
        <v>0</v>
      </c>
      <c r="J28" s="236">
        <v>5354.99</v>
      </c>
      <c r="K28" s="236">
        <v>816.55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7" ht="12.75">
      <c r="B29" s="297"/>
      <c r="C29" s="297"/>
      <c r="D29" s="229"/>
      <c r="E29" s="263"/>
      <c r="F29" s="263"/>
      <c r="G29" s="236"/>
      <c r="H29" s="236"/>
      <c r="I29" s="236"/>
      <c r="J29" s="236"/>
      <c r="K29" s="236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>
      <c r="A30" s="3" t="s">
        <v>16</v>
      </c>
      <c r="B30" s="297">
        <f>SUM(C30:K30)+SUM(fed2!B30:K30)+SUM(fed3!B30:L30)+SUM(fed4!B30:K30)+SUM(fed5!B30:K30)</f>
        <v>144943897.73999995</v>
      </c>
      <c r="C30" s="297">
        <v>0</v>
      </c>
      <c r="D30" s="229">
        <v>0</v>
      </c>
      <c r="E30" s="236">
        <v>34236.25</v>
      </c>
      <c r="F30" s="236">
        <v>3174045.26</v>
      </c>
      <c r="G30" s="248">
        <v>1001704</v>
      </c>
      <c r="H30" s="229">
        <v>0</v>
      </c>
      <c r="I30" s="248">
        <v>13502</v>
      </c>
      <c r="J30" s="248">
        <v>41485</v>
      </c>
      <c r="K30" s="248">
        <v>112970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>
      <c r="A31" s="3" t="s">
        <v>17</v>
      </c>
      <c r="B31" s="297">
        <f>SUM(C31:K31)+SUM(fed2!B31:K31)+SUM(fed3!B31:L31)+SUM(fed4!B31:K31)+SUM(fed5!B31:K31)</f>
        <v>184845739.72000003</v>
      </c>
      <c r="C31" s="297">
        <v>0</v>
      </c>
      <c r="D31" s="229">
        <v>0</v>
      </c>
      <c r="E31" s="236">
        <v>10676.43</v>
      </c>
      <c r="F31" s="236">
        <v>2317785.87</v>
      </c>
      <c r="G31" s="248">
        <v>1265636.55</v>
      </c>
      <c r="H31" s="229">
        <v>0</v>
      </c>
      <c r="I31" s="229">
        <v>0</v>
      </c>
      <c r="J31" s="248">
        <v>0</v>
      </c>
      <c r="K31" s="248">
        <v>121432.54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2.75">
      <c r="A32" s="3" t="s">
        <v>18</v>
      </c>
      <c r="B32" s="297">
        <f>SUM(C32:K32)+SUM(fed2!B32:K32)+SUM(fed3!B32:L32)+SUM(fed4!B32:K32)+SUM(fed5!B32:K32)</f>
        <v>7358697.640000001</v>
      </c>
      <c r="C32" s="297">
        <v>0</v>
      </c>
      <c r="D32" s="229">
        <v>0</v>
      </c>
      <c r="E32" s="236">
        <v>13827.85</v>
      </c>
      <c r="F32" s="236">
        <v>31908.27</v>
      </c>
      <c r="G32" s="248">
        <v>58139</v>
      </c>
      <c r="H32" s="248">
        <v>2965.68</v>
      </c>
      <c r="I32" s="229">
        <v>0</v>
      </c>
      <c r="J32" s="248">
        <v>8775</v>
      </c>
      <c r="K32" s="248">
        <v>6557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12.75">
      <c r="A33" s="3" t="s">
        <v>19</v>
      </c>
      <c r="B33" s="297">
        <f>SUM(C33:K33)+SUM(fed2!B33:K33)+SUM(fed3!B33:L33)+SUM(fed4!B33:K33)+SUM(fed5!B33:K33)</f>
        <v>20277485.260000005</v>
      </c>
      <c r="C33" s="297">
        <v>0</v>
      </c>
      <c r="D33" s="229">
        <v>0</v>
      </c>
      <c r="E33" s="236">
        <v>3213.14</v>
      </c>
      <c r="F33" s="236">
        <v>18964.2</v>
      </c>
      <c r="G33" s="248">
        <v>139026.72</v>
      </c>
      <c r="H33" s="229">
        <v>0</v>
      </c>
      <c r="I33" s="229">
        <v>0</v>
      </c>
      <c r="J33" s="248">
        <v>0</v>
      </c>
      <c r="K33" s="248">
        <v>17202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2.75">
      <c r="A34" s="3" t="s">
        <v>20</v>
      </c>
      <c r="B34" s="297">
        <f>SUM(C34:K34)+SUM(fed2!B34:K34)+SUM(fed3!B34:L34)+SUM(fed4!B34:K34)+SUM(fed5!B34:K34)</f>
        <v>7309152.6</v>
      </c>
      <c r="C34" s="297">
        <v>6057.58</v>
      </c>
      <c r="D34" s="229">
        <v>56682.9</v>
      </c>
      <c r="E34" s="236">
        <v>127</v>
      </c>
      <c r="F34" s="236">
        <v>17652.02</v>
      </c>
      <c r="G34" s="248">
        <v>64792</v>
      </c>
      <c r="H34" s="229">
        <v>0</v>
      </c>
      <c r="I34" s="229">
        <v>0</v>
      </c>
      <c r="J34" s="248">
        <v>0</v>
      </c>
      <c r="K34" s="248">
        <v>5388.6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2:37" ht="12.75">
      <c r="B35" s="297"/>
      <c r="C35" s="297"/>
      <c r="D35" s="229"/>
      <c r="E35" s="229"/>
      <c r="F35" s="229"/>
      <c r="G35" s="229"/>
      <c r="H35" s="229"/>
      <c r="I35" s="229"/>
      <c r="J35" s="229"/>
      <c r="K35" s="229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>
      <c r="A36" s="3" t="s">
        <v>21</v>
      </c>
      <c r="B36" s="297">
        <f>SUM(C36:K36)+SUM(fed2!B36:K36)+SUM(fed3!B36:L36)+SUM(fed4!B36:K36)+SUM(fed5!B36:K36)</f>
        <v>4607994.91</v>
      </c>
      <c r="C36" s="297">
        <v>0</v>
      </c>
      <c r="D36" s="229">
        <v>0</v>
      </c>
      <c r="E36" s="236">
        <v>34806.53</v>
      </c>
      <c r="F36" s="236">
        <v>605.21</v>
      </c>
      <c r="G36" s="236">
        <v>50718</v>
      </c>
      <c r="H36" s="236">
        <v>22919.19</v>
      </c>
      <c r="I36" s="236">
        <v>0</v>
      </c>
      <c r="J36" s="236">
        <v>12868.34</v>
      </c>
      <c r="K36" s="236">
        <v>5720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>
      <c r="A37" s="3" t="s">
        <v>22</v>
      </c>
      <c r="B37" s="297">
        <f>SUM(C37:K37)+SUM(fed2!B37:K37)+SUM(fed3!B37:L37)+SUM(fed4!B37:K37)+SUM(fed5!B37:K37)</f>
        <v>24668830.170000006</v>
      </c>
      <c r="C37" s="297">
        <v>0</v>
      </c>
      <c r="D37" s="229">
        <v>0</v>
      </c>
      <c r="E37" s="229">
        <v>11980.97</v>
      </c>
      <c r="F37" s="229">
        <v>95542.89</v>
      </c>
      <c r="G37" s="229">
        <v>262720.16</v>
      </c>
      <c r="H37" s="229">
        <v>0</v>
      </c>
      <c r="I37" s="229">
        <v>3201.05</v>
      </c>
      <c r="J37" s="229">
        <v>19735.17</v>
      </c>
      <c r="K37" s="229">
        <v>26646.65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>
      <c r="A38" s="3" t="s">
        <v>23</v>
      </c>
      <c r="B38" s="297">
        <f>SUM(C38:K38)+SUM(fed2!B38:K38)+SUM(fed3!B38:L38)+SUM(fed4!B38:K38)+SUM(fed5!B38:K38)</f>
        <v>17907558.17</v>
      </c>
      <c r="C38" s="297">
        <v>0</v>
      </c>
      <c r="D38" s="229">
        <v>0</v>
      </c>
      <c r="E38" s="236">
        <v>371</v>
      </c>
      <c r="F38" s="236">
        <v>61265.58</v>
      </c>
      <c r="G38" s="229">
        <v>210349</v>
      </c>
      <c r="H38" s="229">
        <v>0</v>
      </c>
      <c r="I38" s="229">
        <v>0</v>
      </c>
      <c r="J38" s="229">
        <v>0</v>
      </c>
      <c r="K38" s="229">
        <v>22618.95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>
      <c r="A39" s="12" t="s">
        <v>24</v>
      </c>
      <c r="B39" s="363">
        <f>SUM(C39:K39)+SUM(fed2!B39:K39)+SUM(fed3!B39:L39)+SUM(fed4!B39:K39)+SUM(fed5!B39:K39)</f>
        <v>9023415.930000002</v>
      </c>
      <c r="C39" s="363">
        <v>0</v>
      </c>
      <c r="D39" s="230">
        <v>93126</v>
      </c>
      <c r="E39" s="358">
        <v>148</v>
      </c>
      <c r="F39" s="358">
        <v>39452.25</v>
      </c>
      <c r="G39" s="230">
        <v>88001</v>
      </c>
      <c r="H39" s="230">
        <v>0</v>
      </c>
      <c r="I39" s="230">
        <v>17713.77</v>
      </c>
      <c r="J39" s="230">
        <v>13525.71</v>
      </c>
      <c r="K39" s="230">
        <v>9925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2:37" ht="12.75">
      <c r="B40" s="234"/>
      <c r="C40" s="234"/>
      <c r="D40" s="234"/>
      <c r="G40" s="234"/>
      <c r="H40" s="234"/>
      <c r="I40" s="234"/>
      <c r="J40" s="234"/>
      <c r="K40" s="234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2:37" ht="12.75">
      <c r="B41" s="235"/>
      <c r="C41" s="235"/>
      <c r="D41" s="234"/>
      <c r="G41" s="234"/>
      <c r="H41" s="234"/>
      <c r="I41" s="234"/>
      <c r="J41" s="234"/>
      <c r="K41" s="234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4:37" ht="12.75">
      <c r="D42" s="234"/>
      <c r="G42" s="234"/>
      <c r="H42" s="234"/>
      <c r="I42" s="234"/>
      <c r="J42" s="234"/>
      <c r="K42" s="234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4:37" ht="12.75">
      <c r="D43" s="234"/>
      <c r="G43" s="234"/>
      <c r="H43" s="234"/>
      <c r="I43" s="234"/>
      <c r="J43" s="234"/>
      <c r="K43" s="234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4:37" ht="12.75">
      <c r="D44" s="234"/>
      <c r="G44" s="234"/>
      <c r="H44" s="234"/>
      <c r="I44" s="234"/>
      <c r="J44" s="234"/>
      <c r="K44" s="234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4:37" ht="12.75">
      <c r="D45" s="234"/>
      <c r="G45" s="234"/>
      <c r="H45" s="234"/>
      <c r="I45" s="234"/>
      <c r="J45" s="234"/>
      <c r="K45" s="234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4:37" ht="12.75">
      <c r="D46" s="234"/>
      <c r="G46" s="234"/>
      <c r="H46" s="234"/>
      <c r="I46" s="234"/>
      <c r="J46" s="234"/>
      <c r="K46" s="234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4:37" ht="12.75">
      <c r="D47" s="234"/>
      <c r="G47" s="234"/>
      <c r="H47" s="234"/>
      <c r="I47" s="234"/>
      <c r="J47" s="234"/>
      <c r="K47" s="234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4:37" ht="12.75">
      <c r="D48" s="234"/>
      <c r="G48" s="234"/>
      <c r="H48" s="234"/>
      <c r="I48" s="234"/>
      <c r="J48" s="234"/>
      <c r="K48" s="234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4:37" ht="12.75">
      <c r="D49" s="234"/>
      <c r="G49" s="234"/>
      <c r="H49" s="234"/>
      <c r="I49" s="234"/>
      <c r="J49" s="234"/>
      <c r="K49" s="234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4:37" ht="12.75">
      <c r="D50" s="234"/>
      <c r="G50" s="234"/>
      <c r="H50" s="234"/>
      <c r="I50" s="234"/>
      <c r="J50" s="234"/>
      <c r="K50" s="234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4:37" ht="12.75">
      <c r="D51" s="234"/>
      <c r="G51" s="234"/>
      <c r="H51" s="234"/>
      <c r="I51" s="234"/>
      <c r="J51" s="234"/>
      <c r="K51" s="234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4:37" ht="12.75">
      <c r="D52" s="234"/>
      <c r="G52" s="234"/>
      <c r="H52" s="234"/>
      <c r="I52" s="234"/>
      <c r="J52" s="234"/>
      <c r="K52" s="234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4:37" ht="12.75">
      <c r="D53" s="234"/>
      <c r="G53" s="234"/>
      <c r="H53" s="234"/>
      <c r="I53" s="234"/>
      <c r="J53" s="234"/>
      <c r="K53" s="234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4:37" ht="12.75">
      <c r="D54" s="234"/>
      <c r="G54" s="234"/>
      <c r="H54" s="234"/>
      <c r="I54" s="234"/>
      <c r="J54" s="234"/>
      <c r="K54" s="234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4:37" ht="12.75">
      <c r="D55" s="234"/>
      <c r="G55" s="234"/>
      <c r="H55" s="234"/>
      <c r="I55" s="234"/>
      <c r="J55" s="234"/>
      <c r="K55" s="234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4:37" ht="12.75">
      <c r="D56" s="234"/>
      <c r="G56" s="234"/>
      <c r="H56" s="234"/>
      <c r="I56" s="234"/>
      <c r="J56" s="234"/>
      <c r="K56" s="234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4:37" ht="12.75">
      <c r="D57" s="234"/>
      <c r="G57" s="234"/>
      <c r="H57" s="234"/>
      <c r="I57" s="234"/>
      <c r="J57" s="234"/>
      <c r="K57" s="234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4:37" ht="12.75">
      <c r="D58" s="234"/>
      <c r="G58" s="234"/>
      <c r="H58" s="234"/>
      <c r="I58" s="234"/>
      <c r="J58" s="234"/>
      <c r="K58" s="234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4:37" ht="12.75">
      <c r="D59" s="234"/>
      <c r="G59" s="234"/>
      <c r="H59" s="234"/>
      <c r="I59" s="234"/>
      <c r="J59" s="234"/>
      <c r="K59" s="234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4:37" ht="12.75">
      <c r="D60" s="234"/>
      <c r="G60" s="234"/>
      <c r="H60" s="234"/>
      <c r="I60" s="234"/>
      <c r="J60" s="234"/>
      <c r="K60" s="234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4:37" ht="12.75">
      <c r="D61" s="234"/>
      <c r="G61" s="234"/>
      <c r="H61" s="234"/>
      <c r="I61" s="234"/>
      <c r="J61" s="234"/>
      <c r="K61" s="234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4:37" ht="12.75">
      <c r="D62" s="234"/>
      <c r="G62" s="234"/>
      <c r="H62" s="234"/>
      <c r="I62" s="234"/>
      <c r="J62" s="234"/>
      <c r="K62" s="234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4:37" ht="12.75">
      <c r="D63" s="234"/>
      <c r="G63" s="234"/>
      <c r="H63" s="234"/>
      <c r="I63" s="234"/>
      <c r="J63" s="234"/>
      <c r="K63" s="234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4:37" ht="12.75">
      <c r="D64" s="234"/>
      <c r="G64" s="234"/>
      <c r="H64" s="234"/>
      <c r="I64" s="234"/>
      <c r="J64" s="234"/>
      <c r="K64" s="234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4:37" ht="12.75">
      <c r="D65" s="234"/>
      <c r="G65" s="234"/>
      <c r="H65" s="234"/>
      <c r="I65" s="234"/>
      <c r="J65" s="234"/>
      <c r="K65" s="234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4:37" ht="12.75">
      <c r="D66" s="234"/>
      <c r="G66" s="234"/>
      <c r="H66" s="234"/>
      <c r="I66" s="234"/>
      <c r="J66" s="234"/>
      <c r="K66" s="234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4:37" ht="12.75">
      <c r="D67" s="234"/>
      <c r="G67" s="234"/>
      <c r="H67" s="234"/>
      <c r="I67" s="234"/>
      <c r="J67" s="234"/>
      <c r="K67" s="234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4:37" ht="12.75">
      <c r="D68" s="234"/>
      <c r="G68" s="234"/>
      <c r="H68" s="234"/>
      <c r="I68" s="234"/>
      <c r="J68" s="234"/>
      <c r="K68" s="234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4:37" ht="12.75">
      <c r="D69" s="234"/>
      <c r="G69" s="234"/>
      <c r="H69" s="234"/>
      <c r="I69" s="234"/>
      <c r="J69" s="234"/>
      <c r="K69" s="234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4:37" ht="12.75">
      <c r="D70" s="234"/>
      <c r="G70" s="234"/>
      <c r="H70" s="234"/>
      <c r="I70" s="234"/>
      <c r="J70" s="234"/>
      <c r="K70" s="234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4:37" ht="12.75">
      <c r="D71" s="234"/>
      <c r="G71" s="234"/>
      <c r="H71" s="234"/>
      <c r="I71" s="234"/>
      <c r="J71" s="234"/>
      <c r="K71" s="234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4:37" ht="12.75">
      <c r="D72" s="234"/>
      <c r="G72" s="234"/>
      <c r="H72" s="234"/>
      <c r="I72" s="234"/>
      <c r="J72" s="234"/>
      <c r="K72" s="234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4:37" ht="12.75">
      <c r="D73" s="234"/>
      <c r="G73" s="234"/>
      <c r="H73" s="234"/>
      <c r="I73" s="234"/>
      <c r="J73" s="234"/>
      <c r="K73" s="234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4:37" ht="12.75">
      <c r="D74" s="234"/>
      <c r="G74" s="234"/>
      <c r="H74" s="234"/>
      <c r="I74" s="234"/>
      <c r="J74" s="234"/>
      <c r="K74" s="234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4:37" ht="12.75">
      <c r="D75" s="234"/>
      <c r="G75" s="234"/>
      <c r="H75" s="234"/>
      <c r="I75" s="234"/>
      <c r="J75" s="234"/>
      <c r="K75" s="234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4:37" ht="12.75">
      <c r="D76" s="234"/>
      <c r="G76" s="234"/>
      <c r="H76" s="234"/>
      <c r="I76" s="234"/>
      <c r="J76" s="234"/>
      <c r="K76" s="234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</sheetData>
  <sheetProtection password="CAF5" sheet="1" objects="1" scenarios="1"/>
  <mergeCells count="9">
    <mergeCell ref="A1:K1"/>
    <mergeCell ref="G6:K6"/>
    <mergeCell ref="E7:E9"/>
    <mergeCell ref="A2:K2"/>
    <mergeCell ref="G5:K5"/>
    <mergeCell ref="A3:K3"/>
    <mergeCell ref="C7:C9"/>
    <mergeCell ref="J8:J9"/>
    <mergeCell ref="F5:F9"/>
  </mergeCells>
  <printOptions horizontalCentered="1"/>
  <pageMargins left="0.27" right="0.34" top="0.83" bottom="1" header="0.67" footer="0.5"/>
  <pageSetup fitToHeight="1" fitToWidth="1" horizontalDpi="600" verticalDpi="600" orientation="landscape" scale="88" r:id="rId1"/>
  <headerFooter scaleWithDoc="0" alignWithMargins="0">
    <oddFooter>&amp;L&amp;"Arial,Italic"MSDE - LFRO   10 / 2011
&amp;C- 12 -&amp;R&amp;"Arial,Italic"Selected Financial Data-Part 1&amp;9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E1">
      <selection activeCell="D12" sqref="D12"/>
    </sheetView>
  </sheetViews>
  <sheetFormatPr defaultColWidth="9.140625" defaultRowHeight="12.75"/>
  <cols>
    <col min="1" max="1" width="14.421875" style="0" customWidth="1"/>
    <col min="2" max="2" width="15.28125" style="0" customWidth="1"/>
    <col min="3" max="7" width="14.421875" style="0" customWidth="1"/>
    <col min="8" max="8" width="14.421875" style="264" customWidth="1"/>
    <col min="9" max="9" width="19.140625" style="264" customWidth="1"/>
    <col min="10" max="10" width="11.57421875" style="264" customWidth="1"/>
    <col min="11" max="11" width="14.00390625" style="264" customWidth="1"/>
    <col min="12" max="12" width="12.28125" style="0" bestFit="1" customWidth="1"/>
  </cols>
  <sheetData>
    <row r="1" spans="1:12" ht="12.75">
      <c r="A1" s="458" t="s">
        <v>124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9" ht="12.75">
      <c r="A2" s="3"/>
      <c r="B2" s="3"/>
      <c r="C2" s="3"/>
      <c r="D2" s="3"/>
      <c r="E2" s="3"/>
      <c r="F2" s="3"/>
      <c r="G2" s="3"/>
      <c r="H2" s="232"/>
      <c r="I2" s="232"/>
    </row>
    <row r="3" spans="1:12" ht="12.75">
      <c r="A3" s="464" t="s">
        <v>254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</row>
    <row r="4" spans="1:12" ht="13.5" thickBot="1">
      <c r="A4" s="3"/>
      <c r="B4" s="3"/>
      <c r="C4" s="3"/>
      <c r="D4" s="3"/>
      <c r="E4" s="3"/>
      <c r="F4" s="3"/>
      <c r="G4" s="3"/>
      <c r="H4" s="232"/>
      <c r="I4" s="232"/>
      <c r="J4" s="232"/>
      <c r="K4" s="232"/>
      <c r="L4" s="3"/>
    </row>
    <row r="5" spans="1:11" ht="15" customHeight="1" thickTop="1">
      <c r="A5" s="6"/>
      <c r="B5" s="477" t="s">
        <v>56</v>
      </c>
      <c r="C5" s="477"/>
      <c r="D5" s="477"/>
      <c r="E5" s="477"/>
      <c r="F5" s="477"/>
      <c r="G5" s="477"/>
      <c r="H5" s="477"/>
      <c r="I5" s="477"/>
      <c r="J5" s="477"/>
      <c r="K5" s="477"/>
    </row>
    <row r="6" spans="1:11" ht="12.75" customHeight="1">
      <c r="A6" s="3"/>
      <c r="B6" s="476" t="s">
        <v>257</v>
      </c>
      <c r="C6" s="476"/>
      <c r="D6" s="476"/>
      <c r="E6" s="476"/>
      <c r="F6" s="476"/>
      <c r="G6" s="476"/>
      <c r="H6" s="476"/>
      <c r="I6" s="476"/>
      <c r="J6" s="255" t="s">
        <v>238</v>
      </c>
      <c r="K6" s="254" t="s">
        <v>238</v>
      </c>
    </row>
    <row r="7" spans="1:11" ht="12.75" customHeight="1">
      <c r="A7" s="3" t="s">
        <v>80</v>
      </c>
      <c r="B7" s="255" t="s">
        <v>62</v>
      </c>
      <c r="C7" s="467" t="s">
        <v>233</v>
      </c>
      <c r="D7" s="471" t="s">
        <v>234</v>
      </c>
      <c r="E7" s="255"/>
      <c r="F7" s="255"/>
      <c r="G7" s="255" t="s">
        <v>150</v>
      </c>
      <c r="H7" s="473" t="s">
        <v>244</v>
      </c>
      <c r="I7" s="347" t="s">
        <v>241</v>
      </c>
      <c r="J7" s="255" t="s">
        <v>240</v>
      </c>
      <c r="K7" s="255" t="s">
        <v>239</v>
      </c>
    </row>
    <row r="8" spans="1:11" ht="12.75">
      <c r="A8" s="3" t="s">
        <v>33</v>
      </c>
      <c r="B8" s="255" t="s">
        <v>57</v>
      </c>
      <c r="C8" s="426"/>
      <c r="D8" s="475"/>
      <c r="E8" s="255"/>
      <c r="F8" s="255" t="s">
        <v>59</v>
      </c>
      <c r="G8" s="255" t="s">
        <v>31</v>
      </c>
      <c r="H8" s="471"/>
      <c r="I8" s="471" t="s">
        <v>258</v>
      </c>
      <c r="J8" s="255" t="s">
        <v>26</v>
      </c>
      <c r="K8" s="255" t="s">
        <v>26</v>
      </c>
    </row>
    <row r="9" spans="1:11" ht="13.5" thickBot="1">
      <c r="A9" s="7" t="s">
        <v>137</v>
      </c>
      <c r="B9" s="257" t="s">
        <v>156</v>
      </c>
      <c r="C9" s="427"/>
      <c r="D9" s="474"/>
      <c r="E9" s="257" t="s">
        <v>53</v>
      </c>
      <c r="F9" s="257" t="s">
        <v>60</v>
      </c>
      <c r="G9" s="257" t="s">
        <v>151</v>
      </c>
      <c r="H9" s="474"/>
      <c r="I9" s="430"/>
      <c r="J9" s="257" t="s">
        <v>67</v>
      </c>
      <c r="K9" s="257" t="s">
        <v>67</v>
      </c>
    </row>
    <row r="10" spans="1:12" s="16" customFormat="1" ht="12.75">
      <c r="A10" s="49" t="s">
        <v>0</v>
      </c>
      <c r="B10" s="268">
        <f aca="true" t="shared" si="0" ref="B10:G10">SUM(B12:B39)</f>
        <v>188721588.82</v>
      </c>
      <c r="C10" s="268">
        <f t="shared" si="0"/>
        <v>6103102.389999999</v>
      </c>
      <c r="D10" s="268">
        <f t="shared" si="0"/>
        <v>184263.86000000002</v>
      </c>
      <c r="E10" s="268">
        <f t="shared" si="0"/>
        <v>731318.63</v>
      </c>
      <c r="F10" s="268">
        <f t="shared" si="0"/>
        <v>682417.28</v>
      </c>
      <c r="G10" s="268">
        <f t="shared" si="0"/>
        <v>701049.7</v>
      </c>
      <c r="H10" s="268">
        <f>SUM(H12:H39)</f>
        <v>4426888.79</v>
      </c>
      <c r="I10" s="268">
        <f>SUM(I12:I39)</f>
        <v>58680376.42000002</v>
      </c>
      <c r="J10" s="268">
        <f>SUM(J12:J39)</f>
        <v>2221439.87</v>
      </c>
      <c r="K10" s="268">
        <f>SUM(K12:K39)</f>
        <v>1576445.3299999998</v>
      </c>
      <c r="L10" s="3"/>
    </row>
    <row r="11" spans="1:11" ht="12.75">
      <c r="A11" s="3"/>
      <c r="B11" s="271"/>
      <c r="C11" s="271"/>
      <c r="D11" s="271"/>
      <c r="E11" s="271"/>
      <c r="F11" s="271"/>
      <c r="G11" s="271"/>
      <c r="H11" s="271"/>
      <c r="I11" s="271"/>
      <c r="J11" s="269"/>
      <c r="K11" s="269"/>
    </row>
    <row r="12" spans="1:12" ht="12.75">
      <c r="A12" s="3" t="s">
        <v>1</v>
      </c>
      <c r="B12" s="229">
        <v>2458615.5500000003</v>
      </c>
      <c r="C12" s="229">
        <v>0</v>
      </c>
      <c r="D12" s="237">
        <v>8000</v>
      </c>
      <c r="E12" s="237">
        <v>0</v>
      </c>
      <c r="F12" s="229">
        <v>0</v>
      </c>
      <c r="G12" s="229">
        <v>44054.87</v>
      </c>
      <c r="H12" s="229">
        <v>0</v>
      </c>
      <c r="I12" s="229">
        <v>635502.37</v>
      </c>
      <c r="J12" s="229">
        <v>38040.909999999996</v>
      </c>
      <c r="K12" s="229">
        <v>0</v>
      </c>
      <c r="L12" s="88"/>
    </row>
    <row r="13" spans="1:12" ht="12.75">
      <c r="A13" s="3" t="s">
        <v>2</v>
      </c>
      <c r="B13" s="229">
        <v>9174686.34</v>
      </c>
      <c r="C13" s="229">
        <v>0</v>
      </c>
      <c r="D13" s="237">
        <v>4000</v>
      </c>
      <c r="E13" s="237">
        <v>0</v>
      </c>
      <c r="F13" s="229">
        <v>0</v>
      </c>
      <c r="G13" s="229">
        <v>0</v>
      </c>
      <c r="H13" s="229">
        <v>0</v>
      </c>
      <c r="I13" s="229">
        <v>4871853.53</v>
      </c>
      <c r="J13" s="229">
        <v>61899.25</v>
      </c>
      <c r="K13" s="229">
        <v>0</v>
      </c>
      <c r="L13" s="88"/>
    </row>
    <row r="14" spans="1:12" ht="12.75">
      <c r="A14" s="3" t="s">
        <v>3</v>
      </c>
      <c r="B14" s="229">
        <v>72497345.68</v>
      </c>
      <c r="C14" s="237">
        <v>4449555.76</v>
      </c>
      <c r="D14" s="237">
        <v>31532.38</v>
      </c>
      <c r="E14" s="237">
        <v>0</v>
      </c>
      <c r="F14" s="229">
        <v>74183.6</v>
      </c>
      <c r="G14" s="229">
        <v>334445.57</v>
      </c>
      <c r="H14" s="236">
        <v>3150975.51</v>
      </c>
      <c r="I14" s="236">
        <v>18665717.25</v>
      </c>
      <c r="J14" s="229">
        <v>473833.07</v>
      </c>
      <c r="K14" s="229">
        <v>167627.88</v>
      </c>
      <c r="L14" s="88"/>
    </row>
    <row r="15" spans="1:12" ht="12.75">
      <c r="A15" s="3" t="s">
        <v>4</v>
      </c>
      <c r="B15" s="229">
        <v>21813721.24</v>
      </c>
      <c r="C15" s="229">
        <v>2000</v>
      </c>
      <c r="D15" s="237">
        <v>26393.21</v>
      </c>
      <c r="E15" s="237">
        <v>0</v>
      </c>
      <c r="F15" s="229">
        <v>0</v>
      </c>
      <c r="G15" s="229">
        <v>91971.37</v>
      </c>
      <c r="H15" s="229">
        <v>0</v>
      </c>
      <c r="I15" s="229">
        <v>11650130.1</v>
      </c>
      <c r="J15" s="229">
        <f>87824.96+2550.46</f>
        <v>90375.42000000001</v>
      </c>
      <c r="K15" s="229">
        <v>275378.43</v>
      </c>
      <c r="L15" s="88"/>
    </row>
    <row r="16" spans="1:12" ht="12.75">
      <c r="A16" s="3" t="s">
        <v>5</v>
      </c>
      <c r="B16" s="229">
        <v>1391227.9200000002</v>
      </c>
      <c r="C16" s="229">
        <v>0</v>
      </c>
      <c r="D16" s="237">
        <v>1894.12</v>
      </c>
      <c r="E16" s="237">
        <v>0</v>
      </c>
      <c r="F16" s="229">
        <v>177273.22999999998</v>
      </c>
      <c r="G16" s="229">
        <v>0</v>
      </c>
      <c r="H16" s="229">
        <v>0</v>
      </c>
      <c r="I16" s="229">
        <v>129646.62</v>
      </c>
      <c r="J16" s="236">
        <v>10834</v>
      </c>
      <c r="K16" s="236">
        <v>154654.52</v>
      </c>
      <c r="L16" s="88"/>
    </row>
    <row r="17" spans="1:12" ht="12.75">
      <c r="A17" s="3"/>
      <c r="B17" s="229"/>
      <c r="C17" s="237"/>
      <c r="D17" s="237"/>
      <c r="E17" s="229"/>
      <c r="F17" s="229"/>
      <c r="G17" s="229"/>
      <c r="H17" s="229"/>
      <c r="I17" s="229"/>
      <c r="J17" s="248"/>
      <c r="K17" s="248"/>
      <c r="L17" s="88"/>
    </row>
    <row r="18" spans="1:12" ht="12.75">
      <c r="A18" s="3" t="s">
        <v>6</v>
      </c>
      <c r="B18" s="229">
        <v>1132444.68</v>
      </c>
      <c r="C18" s="229">
        <v>0</v>
      </c>
      <c r="D18" s="237">
        <v>2000</v>
      </c>
      <c r="E18" s="237">
        <v>0</v>
      </c>
      <c r="F18" s="229">
        <v>0</v>
      </c>
      <c r="G18" s="229">
        <v>0</v>
      </c>
      <c r="H18" s="229">
        <v>0</v>
      </c>
      <c r="I18" s="229">
        <v>415335.78</v>
      </c>
      <c r="J18" s="236">
        <v>9937</v>
      </c>
      <c r="K18" s="236">
        <f>6993.66+15183.6</f>
        <v>22177.260000000002</v>
      </c>
      <c r="L18" s="88"/>
    </row>
    <row r="19" spans="1:12" ht="12.75">
      <c r="A19" s="3" t="s">
        <v>7</v>
      </c>
      <c r="B19" s="229">
        <v>1249001.04</v>
      </c>
      <c r="C19" s="229">
        <v>0</v>
      </c>
      <c r="D19" s="238">
        <v>2000</v>
      </c>
      <c r="E19" s="237">
        <v>0</v>
      </c>
      <c r="F19" s="229">
        <v>0</v>
      </c>
      <c r="G19" s="229">
        <v>0</v>
      </c>
      <c r="H19" s="229">
        <v>0</v>
      </c>
      <c r="I19" s="229">
        <v>0</v>
      </c>
      <c r="J19" s="229">
        <v>17527.93</v>
      </c>
      <c r="K19" s="229">
        <f>1685.89+7777.2</f>
        <v>9463.09</v>
      </c>
      <c r="L19" s="88"/>
    </row>
    <row r="20" spans="1:12" ht="12.75">
      <c r="A20" s="3" t="s">
        <v>8</v>
      </c>
      <c r="B20" s="229">
        <v>2776105.19</v>
      </c>
      <c r="C20" s="229">
        <v>0</v>
      </c>
      <c r="D20" s="237">
        <v>0</v>
      </c>
      <c r="E20" s="237">
        <v>0</v>
      </c>
      <c r="F20" s="229">
        <v>0</v>
      </c>
      <c r="G20" s="229">
        <v>0</v>
      </c>
      <c r="H20" s="229">
        <v>0</v>
      </c>
      <c r="I20" s="229">
        <v>739176.03</v>
      </c>
      <c r="J20" s="229">
        <v>21868.7</v>
      </c>
      <c r="K20" s="229">
        <v>245233.76</v>
      </c>
      <c r="L20" s="88"/>
    </row>
    <row r="21" spans="1:12" ht="12.75">
      <c r="A21" s="3" t="s">
        <v>9</v>
      </c>
      <c r="B21" s="229">
        <v>2639142.4</v>
      </c>
      <c r="C21" s="229">
        <v>0</v>
      </c>
      <c r="D21" s="237">
        <v>0</v>
      </c>
      <c r="E21" s="237">
        <v>0</v>
      </c>
      <c r="F21" s="229">
        <v>0</v>
      </c>
      <c r="G21" s="229">
        <v>0</v>
      </c>
      <c r="H21" s="229">
        <v>0</v>
      </c>
      <c r="I21" s="229">
        <v>963038.74</v>
      </c>
      <c r="J21" s="229">
        <v>21145.54</v>
      </c>
      <c r="K21" s="229">
        <v>0</v>
      </c>
      <c r="L21" s="88"/>
    </row>
    <row r="22" spans="1:12" ht="12.75">
      <c r="A22" s="3" t="s">
        <v>10</v>
      </c>
      <c r="B22" s="229">
        <v>1338202.18</v>
      </c>
      <c r="C22" s="237">
        <v>79791.85</v>
      </c>
      <c r="D22" s="237">
        <v>2000</v>
      </c>
      <c r="E22" s="236">
        <f>71958.14+32004</f>
        <v>103962.14</v>
      </c>
      <c r="F22" s="229">
        <v>0</v>
      </c>
      <c r="G22" s="229">
        <v>0</v>
      </c>
      <c r="H22" s="229">
        <v>0</v>
      </c>
      <c r="I22" s="229">
        <v>661484.38</v>
      </c>
      <c r="J22" s="229">
        <v>41999.36</v>
      </c>
      <c r="K22" s="229">
        <f>9575.62+7287.27</f>
        <v>16862.89</v>
      </c>
      <c r="L22" s="88"/>
    </row>
    <row r="23" spans="1:12" ht="12.75">
      <c r="A23" s="3"/>
      <c r="B23" s="229"/>
      <c r="C23" s="237"/>
      <c r="D23" s="237"/>
      <c r="E23" s="229"/>
      <c r="F23" s="229"/>
      <c r="G23" s="229"/>
      <c r="H23" s="229"/>
      <c r="I23" s="229"/>
      <c r="J23" s="229"/>
      <c r="K23" s="229"/>
      <c r="L23" s="88"/>
    </row>
    <row r="24" spans="1:12" ht="12.75">
      <c r="A24" s="3" t="s">
        <v>11</v>
      </c>
      <c r="B24" s="229">
        <v>3398410.44</v>
      </c>
      <c r="C24" s="237">
        <v>0</v>
      </c>
      <c r="D24" s="237">
        <v>1949.8</v>
      </c>
      <c r="E24" s="237">
        <v>0</v>
      </c>
      <c r="F24" s="229">
        <v>0</v>
      </c>
      <c r="G24" s="229">
        <v>0</v>
      </c>
      <c r="H24" s="229">
        <v>0</v>
      </c>
      <c r="I24" s="229">
        <v>1001069.74</v>
      </c>
      <c r="J24" s="229">
        <v>31751.04</v>
      </c>
      <c r="K24" s="229">
        <v>0</v>
      </c>
      <c r="L24" s="88"/>
    </row>
    <row r="25" spans="1:12" ht="12.75">
      <c r="A25" s="3" t="s">
        <v>12</v>
      </c>
      <c r="B25" s="229">
        <v>1239120.23</v>
      </c>
      <c r="C25" s="237">
        <v>0</v>
      </c>
      <c r="D25" s="237">
        <v>4000</v>
      </c>
      <c r="E25" s="237">
        <v>0</v>
      </c>
      <c r="F25" s="229">
        <v>0</v>
      </c>
      <c r="G25" s="229">
        <v>0</v>
      </c>
      <c r="H25" s="229">
        <v>0</v>
      </c>
      <c r="I25" s="229">
        <v>510100.41</v>
      </c>
      <c r="J25" s="229">
        <v>0</v>
      </c>
      <c r="K25" s="229">
        <f>40937.65+3902.41+6689.08</f>
        <v>51529.14</v>
      </c>
      <c r="L25" s="88"/>
    </row>
    <row r="26" spans="1:12" ht="12.75">
      <c r="A26" s="3" t="s">
        <v>13</v>
      </c>
      <c r="B26" s="236">
        <v>4076847.05</v>
      </c>
      <c r="C26" s="237">
        <v>0</v>
      </c>
      <c r="D26" s="237">
        <v>0</v>
      </c>
      <c r="E26" s="237">
        <v>0</v>
      </c>
      <c r="F26" s="229">
        <v>0</v>
      </c>
      <c r="G26" s="229">
        <v>0</v>
      </c>
      <c r="H26" s="229">
        <v>0</v>
      </c>
      <c r="I26" s="229">
        <v>1311811.25</v>
      </c>
      <c r="J26" s="229">
        <v>25426.78</v>
      </c>
      <c r="K26" s="229">
        <v>2216.84</v>
      </c>
      <c r="L26" s="88"/>
    </row>
    <row r="27" spans="1:12" ht="12.75">
      <c r="A27" s="3" t="s">
        <v>14</v>
      </c>
      <c r="B27" s="229">
        <v>1948737.3</v>
      </c>
      <c r="C27" s="237">
        <v>0</v>
      </c>
      <c r="D27" s="237">
        <v>4000</v>
      </c>
      <c r="E27" s="237">
        <v>0</v>
      </c>
      <c r="F27" s="229">
        <v>0</v>
      </c>
      <c r="G27" s="229">
        <v>0</v>
      </c>
      <c r="H27" s="229">
        <v>0</v>
      </c>
      <c r="I27" s="229">
        <v>0</v>
      </c>
      <c r="J27" s="229">
        <v>7422.55</v>
      </c>
      <c r="K27" s="229">
        <v>10823.17</v>
      </c>
      <c r="L27" s="88"/>
    </row>
    <row r="28" spans="1:12" ht="12.75">
      <c r="A28" s="3" t="s">
        <v>15</v>
      </c>
      <c r="B28" s="229">
        <v>522585.85</v>
      </c>
      <c r="C28" s="237">
        <v>84236.81</v>
      </c>
      <c r="D28" s="237">
        <v>0</v>
      </c>
      <c r="E28" s="237">
        <v>0</v>
      </c>
      <c r="F28" s="229">
        <v>0</v>
      </c>
      <c r="G28" s="229">
        <v>0</v>
      </c>
      <c r="H28" s="229">
        <v>0</v>
      </c>
      <c r="I28" s="229">
        <v>258370</v>
      </c>
      <c r="J28" s="229">
        <v>4378</v>
      </c>
      <c r="K28" s="229">
        <v>114532.76</v>
      </c>
      <c r="L28" s="88"/>
    </row>
    <row r="29" spans="1:12" ht="12.75">
      <c r="A29" s="3"/>
      <c r="B29" s="229"/>
      <c r="C29" s="237"/>
      <c r="D29" s="237"/>
      <c r="E29" s="229"/>
      <c r="F29" s="271"/>
      <c r="G29" s="229"/>
      <c r="H29" s="229"/>
      <c r="I29" s="229"/>
      <c r="J29" s="229"/>
      <c r="K29" s="229"/>
      <c r="L29" s="88"/>
    </row>
    <row r="30" spans="1:12" ht="12.75">
      <c r="A30" s="3" t="s">
        <v>16</v>
      </c>
      <c r="B30" s="229">
        <v>19813177.43</v>
      </c>
      <c r="C30" s="236">
        <v>0</v>
      </c>
      <c r="D30" s="236">
        <v>32000</v>
      </c>
      <c r="E30" s="237">
        <v>0</v>
      </c>
      <c r="F30" s="229">
        <v>0</v>
      </c>
      <c r="G30" s="229">
        <v>150733.03</v>
      </c>
      <c r="H30" s="229">
        <v>0</v>
      </c>
      <c r="I30" s="229">
        <v>5915320.58</v>
      </c>
      <c r="J30" s="229">
        <v>804787.52</v>
      </c>
      <c r="K30" s="229">
        <v>472053.87</v>
      </c>
      <c r="L30" s="88"/>
    </row>
    <row r="31" spans="1:12" ht="12.75">
      <c r="A31" s="3" t="s">
        <v>17</v>
      </c>
      <c r="B31" s="229">
        <v>26260208.23</v>
      </c>
      <c r="C31" s="237">
        <v>1487517.97</v>
      </c>
      <c r="D31" s="237">
        <v>20847.89</v>
      </c>
      <c r="E31" s="237">
        <v>0</v>
      </c>
      <c r="F31" s="229">
        <v>181815.42</v>
      </c>
      <c r="G31" s="236">
        <v>0</v>
      </c>
      <c r="H31" s="229">
        <v>1275913.28</v>
      </c>
      <c r="I31" s="229">
        <v>5619666.42</v>
      </c>
      <c r="J31" s="229">
        <v>256898.07</v>
      </c>
      <c r="K31" s="229">
        <v>0</v>
      </c>
      <c r="L31" s="88"/>
    </row>
    <row r="32" spans="1:12" ht="12.75">
      <c r="A32" s="3" t="s">
        <v>18</v>
      </c>
      <c r="B32" s="236">
        <v>673087.61</v>
      </c>
      <c r="C32" s="237">
        <v>0</v>
      </c>
      <c r="D32" s="237">
        <v>3304.01</v>
      </c>
      <c r="E32" s="229">
        <f>208276.19+173159</f>
        <v>381435.19</v>
      </c>
      <c r="F32" s="236">
        <v>249145.03</v>
      </c>
      <c r="G32" s="236">
        <v>0</v>
      </c>
      <c r="H32" s="229">
        <v>0</v>
      </c>
      <c r="I32" s="229">
        <v>251125.31</v>
      </c>
      <c r="J32" s="229">
        <v>6142.16</v>
      </c>
      <c r="K32" s="229">
        <v>0</v>
      </c>
      <c r="L32" s="88"/>
    </row>
    <row r="33" spans="1:12" ht="12.75">
      <c r="A33" s="3" t="s">
        <v>19</v>
      </c>
      <c r="B33" s="229">
        <f>2533520.22+142861.29</f>
        <v>2676381.5100000002</v>
      </c>
      <c r="C33" s="237">
        <v>0</v>
      </c>
      <c r="D33" s="237">
        <v>2000</v>
      </c>
      <c r="E33" s="237">
        <v>0</v>
      </c>
      <c r="F33" s="229">
        <v>0</v>
      </c>
      <c r="G33" s="229">
        <v>0</v>
      </c>
      <c r="H33" s="229">
        <v>0</v>
      </c>
      <c r="I33" s="229">
        <v>1047305.92</v>
      </c>
      <c r="J33" s="229">
        <v>22259.91</v>
      </c>
      <c r="K33" s="229">
        <v>0</v>
      </c>
      <c r="L33" s="88"/>
    </row>
    <row r="34" spans="1:12" ht="12.75">
      <c r="A34" s="3" t="s">
        <v>20</v>
      </c>
      <c r="B34" s="229">
        <v>1432497.2000000002</v>
      </c>
      <c r="C34" s="237">
        <v>0</v>
      </c>
      <c r="D34" s="237">
        <v>4000</v>
      </c>
      <c r="E34" s="229">
        <v>245921.3</v>
      </c>
      <c r="F34" s="229">
        <v>0</v>
      </c>
      <c r="G34" s="229">
        <v>0</v>
      </c>
      <c r="H34" s="229">
        <v>0</v>
      </c>
      <c r="I34" s="229">
        <v>519427.27</v>
      </c>
      <c r="J34" s="229">
        <f>60443.21+18952.03</f>
        <v>79395.23999999999</v>
      </c>
      <c r="K34" s="229">
        <v>5451.22</v>
      </c>
      <c r="L34" s="88"/>
    </row>
    <row r="35" spans="1:12" ht="12.75">
      <c r="A35" s="3"/>
      <c r="B35" s="229"/>
      <c r="C35" s="237"/>
      <c r="D35" s="237"/>
      <c r="E35" s="229"/>
      <c r="F35" s="229"/>
      <c r="G35" s="229"/>
      <c r="H35" s="229"/>
      <c r="I35" s="229"/>
      <c r="J35" s="229"/>
      <c r="K35" s="229"/>
      <c r="L35" s="88"/>
    </row>
    <row r="36" spans="1:12" ht="12.75">
      <c r="A36" s="3" t="s">
        <v>21</v>
      </c>
      <c r="B36" s="229">
        <v>678374.08</v>
      </c>
      <c r="C36" s="237">
        <v>0</v>
      </c>
      <c r="D36" s="237">
        <v>0</v>
      </c>
      <c r="E36" s="237">
        <v>0</v>
      </c>
      <c r="F36" s="229">
        <v>0</v>
      </c>
      <c r="G36" s="229">
        <v>0</v>
      </c>
      <c r="H36" s="229">
        <v>0</v>
      </c>
      <c r="I36" s="229">
        <v>374777.76</v>
      </c>
      <c r="J36" s="229">
        <v>6015.18</v>
      </c>
      <c r="K36" s="229">
        <v>128.46</v>
      </c>
      <c r="L36" s="88"/>
    </row>
    <row r="37" spans="1:12" ht="12.75">
      <c r="A37" s="3" t="s">
        <v>22</v>
      </c>
      <c r="B37" s="229">
        <v>3957315.4499999997</v>
      </c>
      <c r="C37" s="229">
        <v>0</v>
      </c>
      <c r="D37" s="237">
        <v>4000</v>
      </c>
      <c r="E37" s="229">
        <v>0</v>
      </c>
      <c r="F37" s="229">
        <v>0</v>
      </c>
      <c r="G37" s="229">
        <v>79844.86</v>
      </c>
      <c r="H37" s="229">
        <v>0</v>
      </c>
      <c r="I37" s="229">
        <v>1186582.84</v>
      </c>
      <c r="J37" s="229">
        <f>47140.07+94782.13</f>
        <v>141922.2</v>
      </c>
      <c r="K37" s="229">
        <v>1426.67</v>
      </c>
      <c r="L37" s="88"/>
    </row>
    <row r="38" spans="1:12" ht="12.75">
      <c r="A38" s="3" t="s">
        <v>23</v>
      </c>
      <c r="B38" s="229">
        <v>3990453.12</v>
      </c>
      <c r="C38" s="229">
        <v>0</v>
      </c>
      <c r="D38" s="237">
        <v>26342.45</v>
      </c>
      <c r="E38" s="229">
        <v>0</v>
      </c>
      <c r="F38" s="229">
        <v>0</v>
      </c>
      <c r="G38" s="229">
        <v>0</v>
      </c>
      <c r="H38" s="229">
        <v>0</v>
      </c>
      <c r="I38" s="229">
        <v>1238293.67</v>
      </c>
      <c r="J38" s="229">
        <v>47052.92</v>
      </c>
      <c r="K38" s="229">
        <v>0</v>
      </c>
      <c r="L38" s="88"/>
    </row>
    <row r="39" spans="1:12" ht="12.75">
      <c r="A39" s="12" t="s">
        <v>24</v>
      </c>
      <c r="B39" s="230">
        <v>1583901.1</v>
      </c>
      <c r="C39" s="230">
        <v>0</v>
      </c>
      <c r="D39" s="358">
        <v>4000</v>
      </c>
      <c r="E39" s="230">
        <v>0</v>
      </c>
      <c r="F39" s="230">
        <v>0</v>
      </c>
      <c r="G39" s="230">
        <v>0</v>
      </c>
      <c r="H39" s="230">
        <v>0</v>
      </c>
      <c r="I39" s="230">
        <v>714640.45</v>
      </c>
      <c r="J39" s="230">
        <v>527.12</v>
      </c>
      <c r="K39" s="230">
        <f>25444.87+1440.5</f>
        <v>26885.37</v>
      </c>
      <c r="L39" s="81"/>
    </row>
    <row r="40" spans="1:12" ht="12.75">
      <c r="A40" s="3"/>
      <c r="B40" s="3"/>
      <c r="C40" s="3"/>
      <c r="D40" s="3"/>
      <c r="E40" s="3"/>
      <c r="F40" s="3"/>
      <c r="G40" s="3"/>
      <c r="H40" s="232"/>
      <c r="I40" s="232"/>
      <c r="J40" s="234"/>
      <c r="K40" s="234"/>
      <c r="L40" s="15"/>
    </row>
    <row r="41" spans="1:12" ht="12.75">
      <c r="A41" s="3"/>
      <c r="B41" s="3"/>
      <c r="C41" s="3"/>
      <c r="D41" s="3"/>
      <c r="E41" s="3"/>
      <c r="F41" s="3"/>
      <c r="G41" s="3"/>
      <c r="H41" s="232"/>
      <c r="I41" s="232"/>
      <c r="J41" s="234"/>
      <c r="K41" s="234"/>
      <c r="L41" s="15"/>
    </row>
    <row r="42" spans="1:12" ht="12.75">
      <c r="A42" s="3"/>
      <c r="B42" s="3"/>
      <c r="C42" s="3"/>
      <c r="D42" s="3"/>
      <c r="E42" s="3"/>
      <c r="F42" s="3"/>
      <c r="G42" s="3"/>
      <c r="H42" s="232"/>
      <c r="I42" s="232"/>
      <c r="J42" s="234"/>
      <c r="K42" s="234"/>
      <c r="L42" s="15"/>
    </row>
    <row r="43" spans="1:12" ht="12.75">
      <c r="A43" s="3"/>
      <c r="B43" s="3"/>
      <c r="C43" s="3"/>
      <c r="D43" s="3"/>
      <c r="E43" s="3"/>
      <c r="F43" s="3"/>
      <c r="G43" s="3"/>
      <c r="H43" s="232"/>
      <c r="I43" s="232"/>
      <c r="J43" s="234"/>
      <c r="K43" s="234"/>
      <c r="L43" s="15"/>
    </row>
    <row r="44" spans="1:12" ht="12.75">
      <c r="A44" s="3"/>
      <c r="B44" s="3"/>
      <c r="C44" s="3"/>
      <c r="D44" s="3"/>
      <c r="E44" s="3"/>
      <c r="F44" s="3"/>
      <c r="G44" s="3"/>
      <c r="H44" s="232"/>
      <c r="I44" s="232"/>
      <c r="J44" s="234"/>
      <c r="K44" s="234"/>
      <c r="L44" s="15"/>
    </row>
    <row r="45" spans="1:12" ht="12.75">
      <c r="A45" s="3"/>
      <c r="B45" s="3"/>
      <c r="C45" s="3"/>
      <c r="D45" s="3"/>
      <c r="E45" s="3"/>
      <c r="F45" s="3"/>
      <c r="G45" s="3"/>
      <c r="H45" s="232"/>
      <c r="I45" s="232"/>
      <c r="J45" s="234"/>
      <c r="K45" s="234"/>
      <c r="L45" s="15"/>
    </row>
    <row r="46" spans="1:12" ht="12.75">
      <c r="A46" s="3"/>
      <c r="B46" s="3"/>
      <c r="C46" s="3"/>
      <c r="D46" s="3"/>
      <c r="E46" s="3"/>
      <c r="F46" s="3"/>
      <c r="G46" s="3"/>
      <c r="H46" s="232"/>
      <c r="I46" s="232"/>
      <c r="J46" s="234"/>
      <c r="K46" s="234"/>
      <c r="L46" s="15"/>
    </row>
    <row r="47" spans="1:12" ht="12.75">
      <c r="A47" s="3"/>
      <c r="B47" s="3"/>
      <c r="C47" s="3"/>
      <c r="D47" s="3"/>
      <c r="E47" s="3"/>
      <c r="F47" s="3"/>
      <c r="G47" s="3"/>
      <c r="H47" s="232"/>
      <c r="I47" s="232"/>
      <c r="J47" s="234"/>
      <c r="K47" s="234"/>
      <c r="L47" s="15"/>
    </row>
    <row r="48" spans="1:12" ht="12.75">
      <c r="A48" s="3"/>
      <c r="B48" s="3"/>
      <c r="C48" s="3"/>
      <c r="D48" s="3"/>
      <c r="E48" s="3"/>
      <c r="F48" s="3"/>
      <c r="G48" s="3"/>
      <c r="H48" s="232"/>
      <c r="I48" s="232"/>
      <c r="J48" s="234"/>
      <c r="K48" s="234"/>
      <c r="L48" s="15"/>
    </row>
    <row r="49" spans="1:12" ht="12.75">
      <c r="A49" s="3"/>
      <c r="B49" s="3"/>
      <c r="C49" s="3"/>
      <c r="D49" s="3"/>
      <c r="E49" s="3"/>
      <c r="F49" s="3"/>
      <c r="G49" s="3"/>
      <c r="H49" s="232"/>
      <c r="I49" s="232"/>
      <c r="J49" s="234"/>
      <c r="K49" s="234"/>
      <c r="L49" s="15"/>
    </row>
    <row r="50" spans="1:12" ht="12.75">
      <c r="A50" s="3"/>
      <c r="B50" s="3"/>
      <c r="C50" s="3"/>
      <c r="D50" s="3"/>
      <c r="E50" s="3"/>
      <c r="F50" s="3"/>
      <c r="G50" s="3"/>
      <c r="H50" s="232"/>
      <c r="I50" s="232"/>
      <c r="J50" s="234"/>
      <c r="K50" s="234"/>
      <c r="L50" s="15"/>
    </row>
    <row r="51" spans="1:12" ht="12.75">
      <c r="A51" s="3"/>
      <c r="B51" s="3"/>
      <c r="C51" s="3"/>
      <c r="D51" s="3"/>
      <c r="E51" s="3"/>
      <c r="F51" s="3"/>
      <c r="G51" s="3"/>
      <c r="H51" s="232"/>
      <c r="I51" s="232"/>
      <c r="J51" s="234"/>
      <c r="K51" s="234"/>
      <c r="L51" s="15"/>
    </row>
    <row r="52" spans="1:12" ht="12.75">
      <c r="A52" s="3"/>
      <c r="B52" s="3"/>
      <c r="C52" s="3"/>
      <c r="D52" s="3"/>
      <c r="E52" s="3"/>
      <c r="F52" s="3"/>
      <c r="G52" s="3"/>
      <c r="H52" s="232"/>
      <c r="I52" s="232"/>
      <c r="J52" s="234"/>
      <c r="K52" s="234"/>
      <c r="L52" s="15"/>
    </row>
    <row r="53" spans="1:12" ht="12.75">
      <c r="A53" s="3"/>
      <c r="B53" s="3"/>
      <c r="C53" s="3"/>
      <c r="D53" s="3"/>
      <c r="E53" s="3"/>
      <c r="F53" s="3"/>
      <c r="G53" s="3"/>
      <c r="H53" s="232"/>
      <c r="I53" s="232"/>
      <c r="J53" s="234"/>
      <c r="K53" s="234"/>
      <c r="L53" s="15"/>
    </row>
    <row r="54" spans="1:12" ht="12.75">
      <c r="A54" s="3"/>
      <c r="B54" s="3"/>
      <c r="C54" s="3"/>
      <c r="D54" s="3"/>
      <c r="E54" s="3"/>
      <c r="F54" s="3"/>
      <c r="G54" s="3"/>
      <c r="H54" s="232"/>
      <c r="I54" s="232"/>
      <c r="J54" s="234"/>
      <c r="K54" s="234"/>
      <c r="L54" s="15"/>
    </row>
    <row r="55" spans="1:12" ht="12.75">
      <c r="A55" s="3"/>
      <c r="B55" s="3"/>
      <c r="C55" s="3"/>
      <c r="D55" s="3"/>
      <c r="E55" s="3"/>
      <c r="F55" s="3"/>
      <c r="G55" s="3"/>
      <c r="H55" s="232"/>
      <c r="I55" s="232"/>
      <c r="J55" s="234"/>
      <c r="K55" s="234"/>
      <c r="L55" s="15"/>
    </row>
    <row r="56" spans="1:12" ht="12.75">
      <c r="A56" s="3"/>
      <c r="B56" s="3"/>
      <c r="C56" s="3"/>
      <c r="D56" s="3"/>
      <c r="E56" s="3"/>
      <c r="F56" s="3"/>
      <c r="G56" s="3"/>
      <c r="H56" s="232"/>
      <c r="I56" s="232"/>
      <c r="J56" s="234"/>
      <c r="K56" s="234"/>
      <c r="L56" s="15"/>
    </row>
    <row r="57" spans="1:12" ht="12.75">
      <c r="A57" s="3"/>
      <c r="B57" s="3"/>
      <c r="C57" s="3"/>
      <c r="D57" s="3"/>
      <c r="E57" s="3"/>
      <c r="F57" s="3"/>
      <c r="G57" s="3"/>
      <c r="H57" s="232"/>
      <c r="I57" s="232"/>
      <c r="J57" s="234"/>
      <c r="K57" s="234"/>
      <c r="L57" s="15"/>
    </row>
    <row r="58" spans="1:12" ht="12.75">
      <c r="A58" s="3"/>
      <c r="B58" s="3"/>
      <c r="C58" s="3"/>
      <c r="D58" s="3"/>
      <c r="E58" s="3"/>
      <c r="F58" s="3"/>
      <c r="G58" s="3"/>
      <c r="H58" s="232"/>
      <c r="I58" s="232"/>
      <c r="J58" s="234"/>
      <c r="K58" s="234"/>
      <c r="L58" s="15"/>
    </row>
    <row r="59" spans="1:12" ht="12.75">
      <c r="A59" s="3"/>
      <c r="B59" s="3"/>
      <c r="C59" s="3"/>
      <c r="D59" s="3"/>
      <c r="E59" s="3"/>
      <c r="F59" s="3"/>
      <c r="G59" s="3"/>
      <c r="H59" s="232"/>
      <c r="I59" s="232"/>
      <c r="J59" s="234"/>
      <c r="K59" s="234"/>
      <c r="L59" s="15"/>
    </row>
    <row r="60" spans="1:11" ht="12.75">
      <c r="A60" s="3"/>
      <c r="B60" s="3"/>
      <c r="C60" s="3"/>
      <c r="D60" s="3"/>
      <c r="E60" s="3"/>
      <c r="F60" s="3"/>
      <c r="G60" s="3"/>
      <c r="H60" s="232"/>
      <c r="I60" s="232"/>
      <c r="J60" s="234"/>
      <c r="K60" s="234"/>
    </row>
    <row r="61" spans="1:9" ht="12.75">
      <c r="A61" s="3"/>
      <c r="B61" s="3"/>
      <c r="C61" s="3"/>
      <c r="D61" s="3"/>
      <c r="E61" s="3"/>
      <c r="F61" s="3"/>
      <c r="G61" s="3"/>
      <c r="H61" s="232"/>
      <c r="I61" s="232"/>
    </row>
    <row r="62" spans="1:9" ht="12.75">
      <c r="A62" s="3"/>
      <c r="B62" s="3"/>
      <c r="C62" s="3"/>
      <c r="D62" s="3"/>
      <c r="E62" s="3"/>
      <c r="F62" s="3"/>
      <c r="G62" s="3"/>
      <c r="H62" s="232"/>
      <c r="I62" s="232"/>
    </row>
    <row r="63" spans="1:9" ht="12.75">
      <c r="A63" s="3"/>
      <c r="B63" s="3"/>
      <c r="C63" s="3"/>
      <c r="D63" s="3"/>
      <c r="E63" s="3"/>
      <c r="F63" s="3"/>
      <c r="G63" s="3"/>
      <c r="H63" s="232"/>
      <c r="I63" s="232"/>
    </row>
    <row r="64" spans="1:9" ht="12.75">
      <c r="A64" s="3"/>
      <c r="B64" s="3"/>
      <c r="C64" s="3"/>
      <c r="D64" s="3"/>
      <c r="E64" s="3"/>
      <c r="F64" s="3"/>
      <c r="G64" s="3"/>
      <c r="H64" s="232"/>
      <c r="I64" s="232"/>
    </row>
    <row r="65" spans="1:9" ht="12.75">
      <c r="A65" s="3"/>
      <c r="B65" s="3"/>
      <c r="C65" s="3"/>
      <c r="D65" s="3"/>
      <c r="E65" s="3"/>
      <c r="F65" s="3"/>
      <c r="G65" s="3"/>
      <c r="H65" s="232"/>
      <c r="I65" s="232"/>
    </row>
    <row r="66" spans="1:9" ht="12.75">
      <c r="A66" s="3"/>
      <c r="B66" s="3"/>
      <c r="C66" s="3"/>
      <c r="D66" s="3"/>
      <c r="E66" s="3"/>
      <c r="F66" s="3"/>
      <c r="G66" s="3"/>
      <c r="H66" s="232"/>
      <c r="I66" s="232"/>
    </row>
    <row r="67" spans="1:9" ht="12.75">
      <c r="A67" s="3"/>
      <c r="B67" s="3"/>
      <c r="C67" s="3"/>
      <c r="D67" s="3"/>
      <c r="E67" s="3"/>
      <c r="F67" s="3"/>
      <c r="G67" s="3"/>
      <c r="H67" s="232"/>
      <c r="I67" s="232"/>
    </row>
    <row r="68" spans="1:9" ht="12.75">
      <c r="A68" s="3"/>
      <c r="B68" s="3"/>
      <c r="C68" s="3"/>
      <c r="D68" s="3"/>
      <c r="E68" s="3"/>
      <c r="F68" s="3"/>
      <c r="G68" s="3"/>
      <c r="H68" s="232"/>
      <c r="I68" s="232"/>
    </row>
    <row r="69" spans="1:9" ht="12.75">
      <c r="A69" s="3"/>
      <c r="B69" s="3"/>
      <c r="C69" s="3"/>
      <c r="D69" s="3"/>
      <c r="E69" s="3"/>
      <c r="F69" s="3"/>
      <c r="G69" s="3"/>
      <c r="H69" s="232"/>
      <c r="I69" s="232"/>
    </row>
    <row r="70" spans="1:9" ht="12.75">
      <c r="A70" s="3"/>
      <c r="B70" s="3"/>
      <c r="C70" s="3"/>
      <c r="D70" s="3"/>
      <c r="E70" s="3"/>
      <c r="F70" s="3"/>
      <c r="G70" s="3"/>
      <c r="H70" s="232"/>
      <c r="I70" s="232"/>
    </row>
    <row r="71" spans="1:9" ht="12.75">
      <c r="A71" s="3"/>
      <c r="B71" s="3"/>
      <c r="C71" s="3"/>
      <c r="D71" s="3"/>
      <c r="E71" s="3"/>
      <c r="F71" s="3"/>
      <c r="G71" s="3"/>
      <c r="H71" s="232"/>
      <c r="I71" s="232"/>
    </row>
    <row r="72" spans="1:9" ht="12.75">
      <c r="A72" s="3"/>
      <c r="B72" s="3"/>
      <c r="C72" s="3"/>
      <c r="D72" s="3"/>
      <c r="E72" s="3"/>
      <c r="F72" s="3"/>
      <c r="G72" s="3"/>
      <c r="H72" s="232"/>
      <c r="I72" s="232"/>
    </row>
    <row r="73" spans="1:9" ht="12.75">
      <c r="A73" s="3"/>
      <c r="B73" s="3"/>
      <c r="C73" s="3"/>
      <c r="D73" s="3"/>
      <c r="E73" s="3"/>
      <c r="F73" s="3"/>
      <c r="G73" s="3"/>
      <c r="H73" s="232"/>
      <c r="I73" s="232"/>
    </row>
    <row r="74" spans="1:9" ht="12.75">
      <c r="A74" s="3"/>
      <c r="B74" s="3"/>
      <c r="C74" s="3"/>
      <c r="D74" s="3"/>
      <c r="E74" s="3"/>
      <c r="F74" s="3"/>
      <c r="G74" s="3"/>
      <c r="H74" s="232"/>
      <c r="I74" s="232"/>
    </row>
    <row r="75" spans="1:9" ht="12.75">
      <c r="A75" s="3"/>
      <c r="B75" s="3"/>
      <c r="C75" s="3"/>
      <c r="D75" s="3"/>
      <c r="E75" s="3"/>
      <c r="F75" s="3"/>
      <c r="G75" s="3"/>
      <c r="H75" s="232"/>
      <c r="I75" s="232"/>
    </row>
    <row r="76" spans="1:9" ht="12.75">
      <c r="A76" s="3"/>
      <c r="B76" s="3"/>
      <c r="C76" s="3"/>
      <c r="D76" s="3"/>
      <c r="E76" s="3"/>
      <c r="F76" s="3"/>
      <c r="G76" s="3"/>
      <c r="H76" s="232"/>
      <c r="I76" s="232"/>
    </row>
    <row r="77" spans="1:9" ht="12.75">
      <c r="A77" s="3"/>
      <c r="B77" s="3"/>
      <c r="C77" s="3"/>
      <c r="D77" s="3"/>
      <c r="E77" s="3"/>
      <c r="F77" s="3"/>
      <c r="G77" s="3"/>
      <c r="H77" s="232"/>
      <c r="I77" s="232"/>
    </row>
    <row r="78" spans="1:9" ht="12.75">
      <c r="A78" s="3"/>
      <c r="B78" s="3"/>
      <c r="C78" s="3"/>
      <c r="D78" s="3"/>
      <c r="E78" s="3"/>
      <c r="F78" s="3"/>
      <c r="G78" s="3"/>
      <c r="H78" s="232"/>
      <c r="I78" s="232"/>
    </row>
    <row r="79" spans="1:9" ht="12.75">
      <c r="A79" s="3"/>
      <c r="B79" s="3"/>
      <c r="C79" s="3"/>
      <c r="D79" s="3"/>
      <c r="E79" s="3"/>
      <c r="F79" s="3"/>
      <c r="G79" s="3"/>
      <c r="H79" s="232"/>
      <c r="I79" s="232"/>
    </row>
  </sheetData>
  <sheetProtection password="CAF5" sheet="1" objects="1" scenarios="1"/>
  <mergeCells count="8">
    <mergeCell ref="I8:I9"/>
    <mergeCell ref="A1:L1"/>
    <mergeCell ref="A3:L3"/>
    <mergeCell ref="H7:H9"/>
    <mergeCell ref="C7:C9"/>
    <mergeCell ref="D7:D9"/>
    <mergeCell ref="B6:I6"/>
    <mergeCell ref="B5:K5"/>
  </mergeCells>
  <printOptions horizontalCentered="1"/>
  <pageMargins left="0.87" right="0.32" top="0.83" bottom="1" header="0.67" footer="0.5"/>
  <pageSetup fitToHeight="1" fitToWidth="1" horizontalDpi="600" verticalDpi="600" orientation="landscape" scale="73" r:id="rId3"/>
  <headerFooter scaleWithDoc="0" alignWithMargins="0">
    <oddHeader>&amp;R
</oddHeader>
    <oddFooter>&amp;L&amp;"Arial,Italic"MSDE - LFRO   10 / 2011&amp;C- 13 -&amp;R&amp;"Arial,Italic"Selected Financial Data-Part 1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E1">
      <selection activeCell="K14" sqref="K14"/>
    </sheetView>
  </sheetViews>
  <sheetFormatPr defaultColWidth="9.140625" defaultRowHeight="12.75"/>
  <cols>
    <col min="1" max="4" width="14.421875" style="0" customWidth="1"/>
    <col min="5" max="6" width="17.00390625" style="264" customWidth="1"/>
    <col min="7" max="7" width="14.421875" style="264" customWidth="1"/>
    <col min="8" max="8" width="1.7109375" style="264" customWidth="1"/>
    <col min="9" max="9" width="14.8515625" style="264" bestFit="1" customWidth="1"/>
    <col min="10" max="10" width="13.8515625" style="264" bestFit="1" customWidth="1"/>
    <col min="11" max="11" width="13.8515625" style="264" customWidth="1"/>
    <col min="12" max="12" width="15.00390625" style="264" bestFit="1" customWidth="1"/>
    <col min="13" max="13" width="16.28125" style="0" customWidth="1"/>
  </cols>
  <sheetData>
    <row r="1" spans="1:12" ht="12.75">
      <c r="A1" s="458" t="s">
        <v>124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8" ht="12.75">
      <c r="A2" s="3"/>
      <c r="B2" s="3"/>
      <c r="C2" s="3"/>
      <c r="D2" s="3"/>
      <c r="E2" s="232"/>
      <c r="F2" s="232"/>
      <c r="G2" s="232"/>
      <c r="H2" s="232"/>
    </row>
    <row r="3" spans="1:12" ht="12.75">
      <c r="A3" s="464" t="s">
        <v>262</v>
      </c>
      <c r="B3" s="464"/>
      <c r="C3" s="464"/>
      <c r="D3" s="464"/>
      <c r="E3" s="458"/>
      <c r="F3" s="458"/>
      <c r="G3" s="458"/>
      <c r="H3" s="458"/>
      <c r="I3" s="458"/>
      <c r="J3" s="458"/>
      <c r="K3" s="458"/>
      <c r="L3" s="458"/>
    </row>
    <row r="4" spans="1:12" ht="13.5" thickBot="1">
      <c r="A4" s="11"/>
      <c r="B4" s="11"/>
      <c r="C4" s="11"/>
      <c r="D4" s="11"/>
      <c r="E4" s="259"/>
      <c r="F4" s="259"/>
      <c r="G4" s="259"/>
      <c r="H4" s="259"/>
      <c r="I4" s="259"/>
      <c r="J4" s="259"/>
      <c r="K4" s="259"/>
      <c r="L4" s="259"/>
    </row>
    <row r="5" spans="1:12" ht="15" customHeight="1" thickTop="1">
      <c r="A5" s="6"/>
      <c r="B5" s="478" t="s">
        <v>56</v>
      </c>
      <c r="C5" s="479"/>
      <c r="D5" s="479"/>
      <c r="E5" s="479"/>
      <c r="F5" s="479"/>
      <c r="G5" s="479"/>
      <c r="H5" s="160"/>
      <c r="I5" s="481" t="s">
        <v>77</v>
      </c>
      <c r="J5" s="481"/>
      <c r="K5" s="481"/>
      <c r="L5" s="480" t="s">
        <v>187</v>
      </c>
    </row>
    <row r="6" spans="1:12" ht="12.75" customHeight="1">
      <c r="A6" s="3"/>
      <c r="B6" s="255" t="s">
        <v>202</v>
      </c>
      <c r="C6" s="392" t="s">
        <v>189</v>
      </c>
      <c r="D6" s="255"/>
      <c r="E6" s="232"/>
      <c r="F6" s="471" t="s">
        <v>201</v>
      </c>
      <c r="G6" s="471" t="s">
        <v>200</v>
      </c>
      <c r="H6" s="290"/>
      <c r="I6" s="255" t="s">
        <v>74</v>
      </c>
      <c r="J6" s="471" t="s">
        <v>255</v>
      </c>
      <c r="K6" s="232"/>
      <c r="L6" s="467"/>
    </row>
    <row r="7" spans="1:12" ht="12.75" customHeight="1">
      <c r="A7" s="3" t="s">
        <v>80</v>
      </c>
      <c r="B7" s="255" t="s">
        <v>64</v>
      </c>
      <c r="C7" s="471" t="s">
        <v>190</v>
      </c>
      <c r="D7" s="255" t="s">
        <v>142</v>
      </c>
      <c r="E7" s="255" t="s">
        <v>191</v>
      </c>
      <c r="F7" s="471"/>
      <c r="G7" s="471"/>
      <c r="H7" s="290"/>
      <c r="I7" s="255" t="s">
        <v>34</v>
      </c>
      <c r="J7" s="429"/>
      <c r="K7" s="255" t="s">
        <v>75</v>
      </c>
      <c r="L7" s="467"/>
    </row>
    <row r="8" spans="1:12" ht="12.75" customHeight="1">
      <c r="A8" s="3" t="s">
        <v>33</v>
      </c>
      <c r="B8" s="255" t="s">
        <v>65</v>
      </c>
      <c r="C8" s="471"/>
      <c r="D8" s="255" t="s">
        <v>140</v>
      </c>
      <c r="E8" s="255" t="s">
        <v>192</v>
      </c>
      <c r="F8" s="471"/>
      <c r="G8" s="471"/>
      <c r="H8" s="290"/>
      <c r="I8" s="255" t="s">
        <v>79</v>
      </c>
      <c r="J8" s="429"/>
      <c r="K8" s="255" t="s">
        <v>148</v>
      </c>
      <c r="L8" s="467"/>
    </row>
    <row r="9" spans="1:12" ht="13.5" thickBot="1">
      <c r="A9" s="7" t="s">
        <v>137</v>
      </c>
      <c r="B9" s="257" t="s">
        <v>66</v>
      </c>
      <c r="C9" s="474"/>
      <c r="D9" s="257" t="s">
        <v>33</v>
      </c>
      <c r="E9" s="257"/>
      <c r="F9" s="474"/>
      <c r="G9" s="474"/>
      <c r="H9" s="390"/>
      <c r="I9" s="257" t="s">
        <v>73</v>
      </c>
      <c r="J9" s="430"/>
      <c r="K9" s="257" t="s">
        <v>76</v>
      </c>
      <c r="L9" s="427"/>
    </row>
    <row r="10" spans="1:12" s="351" customFormat="1" ht="12.75">
      <c r="A10" s="344" t="s">
        <v>0</v>
      </c>
      <c r="B10" s="268">
        <f aca="true" t="shared" si="0" ref="B10:G10">SUM(B12:B39)</f>
        <v>114820.77</v>
      </c>
      <c r="C10" s="268">
        <f t="shared" si="0"/>
        <v>1054937.82</v>
      </c>
      <c r="D10" s="268">
        <f t="shared" si="0"/>
        <v>72091.34999999999</v>
      </c>
      <c r="E10" s="268">
        <f t="shared" si="0"/>
        <v>3542471.7399999998</v>
      </c>
      <c r="F10" s="268">
        <f t="shared" si="0"/>
        <v>312734.49</v>
      </c>
      <c r="G10" s="268">
        <f t="shared" si="0"/>
        <v>17729.03</v>
      </c>
      <c r="H10" s="268"/>
      <c r="I10" s="268">
        <f>SUM(I12:I39)</f>
        <v>158246653.27</v>
      </c>
      <c r="J10" s="268">
        <f>SUM(J12:J39)</f>
        <v>1079976.6</v>
      </c>
      <c r="K10" s="268">
        <f>SUM(K12:K39)</f>
        <v>13044906.31</v>
      </c>
      <c r="L10" s="268">
        <f>SUM(L12:L39)</f>
        <v>37130257.84</v>
      </c>
    </row>
    <row r="11" spans="1:12" ht="15">
      <c r="A11" s="3"/>
      <c r="B11" s="262"/>
      <c r="C11" s="231"/>
      <c r="D11" s="262"/>
      <c r="E11" s="262"/>
      <c r="F11" s="262"/>
      <c r="G11" s="262"/>
      <c r="H11" s="262"/>
      <c r="I11" s="269"/>
      <c r="J11" s="386"/>
      <c r="K11" s="269"/>
      <c r="L11" s="269"/>
    </row>
    <row r="12" spans="1:13" ht="12.75">
      <c r="A12" s="3" t="s">
        <v>1</v>
      </c>
      <c r="B12" s="249">
        <v>0</v>
      </c>
      <c r="C12" s="229">
        <v>0</v>
      </c>
      <c r="D12" s="229">
        <v>0</v>
      </c>
      <c r="E12" s="229">
        <v>73491.72</v>
      </c>
      <c r="F12" s="236">
        <v>0</v>
      </c>
      <c r="G12" s="236">
        <v>0</v>
      </c>
      <c r="H12" s="236"/>
      <c r="I12" s="240">
        <v>2444145.41</v>
      </c>
      <c r="J12" s="240">
        <v>95800</v>
      </c>
      <c r="K12" s="240">
        <v>232638.22</v>
      </c>
      <c r="L12" s="229">
        <v>771459.79</v>
      </c>
      <c r="M12" s="34"/>
    </row>
    <row r="13" spans="1:13" ht="12.75">
      <c r="A13" s="3" t="s">
        <v>2</v>
      </c>
      <c r="B13" s="249">
        <v>0</v>
      </c>
      <c r="C13" s="229">
        <v>0</v>
      </c>
      <c r="D13" s="229">
        <v>0</v>
      </c>
      <c r="E13" s="229">
        <v>0</v>
      </c>
      <c r="F13" s="236">
        <v>0</v>
      </c>
      <c r="G13" s="236">
        <v>0</v>
      </c>
      <c r="H13" s="236"/>
      <c r="I13" s="240">
        <v>8224173.81</v>
      </c>
      <c r="J13" s="240">
        <v>63814.19</v>
      </c>
      <c r="K13" s="229">
        <v>1049137</v>
      </c>
      <c r="L13" s="248">
        <v>2315185.7600000002</v>
      </c>
      <c r="M13" s="34"/>
    </row>
    <row r="14" spans="1:13" ht="12.75">
      <c r="A14" s="3" t="s">
        <v>3</v>
      </c>
      <c r="B14" s="249">
        <v>0</v>
      </c>
      <c r="C14" s="229">
        <v>0</v>
      </c>
      <c r="D14" s="248">
        <v>41776.92</v>
      </c>
      <c r="E14" s="248">
        <v>658926.1200000001</v>
      </c>
      <c r="F14" s="229">
        <v>0</v>
      </c>
      <c r="G14" s="236">
        <v>0</v>
      </c>
      <c r="H14" s="236"/>
      <c r="I14" s="240">
        <v>29585689.64</v>
      </c>
      <c r="J14" s="240">
        <v>0</v>
      </c>
      <c r="K14" s="229">
        <v>0</v>
      </c>
      <c r="L14" s="248">
        <v>8413919.83</v>
      </c>
      <c r="M14" s="34"/>
    </row>
    <row r="15" spans="1:13" ht="12.75">
      <c r="A15" s="3" t="s">
        <v>4</v>
      </c>
      <c r="B15" s="249">
        <v>0</v>
      </c>
      <c r="C15" s="229">
        <v>0</v>
      </c>
      <c r="D15" s="229">
        <v>0</v>
      </c>
      <c r="E15" s="229">
        <v>859370.31</v>
      </c>
      <c r="F15" s="229">
        <v>0</v>
      </c>
      <c r="G15" s="236">
        <v>0</v>
      </c>
      <c r="H15" s="236"/>
      <c r="I15" s="240">
        <v>19059662</v>
      </c>
      <c r="J15" s="240">
        <v>82078.75</v>
      </c>
      <c r="K15" s="240">
        <v>1878295</v>
      </c>
      <c r="L15" s="229">
        <v>4665352.8100000005</v>
      </c>
      <c r="M15" s="34"/>
    </row>
    <row r="16" spans="1:13" ht="12.75">
      <c r="A16" s="3" t="s">
        <v>5</v>
      </c>
      <c r="B16" s="249">
        <v>0</v>
      </c>
      <c r="C16" s="229">
        <v>0</v>
      </c>
      <c r="D16" s="229">
        <v>0</v>
      </c>
      <c r="E16" s="229">
        <v>0</v>
      </c>
      <c r="F16" s="229">
        <v>0</v>
      </c>
      <c r="G16" s="236">
        <v>0</v>
      </c>
      <c r="H16" s="236"/>
      <c r="I16" s="240">
        <v>1249132.89</v>
      </c>
      <c r="J16" s="240">
        <v>0</v>
      </c>
      <c r="K16" s="240">
        <v>231621</v>
      </c>
      <c r="L16" s="229">
        <v>464532.23</v>
      </c>
      <c r="M16" s="34"/>
    </row>
    <row r="17" spans="1:13" ht="12.75">
      <c r="A17" s="3"/>
      <c r="B17" s="249"/>
      <c r="C17" s="229"/>
      <c r="D17" s="229"/>
      <c r="E17" s="229"/>
      <c r="F17" s="229"/>
      <c r="G17" s="229"/>
      <c r="H17" s="229"/>
      <c r="I17" s="240"/>
      <c r="J17" s="240"/>
      <c r="K17" s="240"/>
      <c r="L17" s="229"/>
      <c r="M17" s="34"/>
    </row>
    <row r="18" spans="1:13" ht="12.75">
      <c r="A18" s="3" t="s">
        <v>6</v>
      </c>
      <c r="B18" s="249">
        <v>0</v>
      </c>
      <c r="C18" s="229">
        <v>0</v>
      </c>
      <c r="D18" s="229">
        <v>0</v>
      </c>
      <c r="E18" s="229">
        <v>0</v>
      </c>
      <c r="F18" s="229">
        <v>0</v>
      </c>
      <c r="G18" s="236">
        <v>0</v>
      </c>
      <c r="H18" s="236"/>
      <c r="I18" s="240">
        <v>1395826.47</v>
      </c>
      <c r="J18" s="240">
        <v>38151</v>
      </c>
      <c r="K18" s="229">
        <v>0</v>
      </c>
      <c r="L18" s="229">
        <v>363029.16</v>
      </c>
      <c r="M18" s="34"/>
    </row>
    <row r="19" spans="1:13" ht="12.75">
      <c r="A19" s="3" t="s">
        <v>7</v>
      </c>
      <c r="B19" s="249">
        <v>0</v>
      </c>
      <c r="C19" s="229">
        <v>0</v>
      </c>
      <c r="D19" s="229">
        <v>0</v>
      </c>
      <c r="E19" s="229">
        <v>0</v>
      </c>
      <c r="F19" s="229">
        <v>0</v>
      </c>
      <c r="G19" s="236">
        <v>0</v>
      </c>
      <c r="H19" s="236"/>
      <c r="I19" s="240">
        <v>1879906.98</v>
      </c>
      <c r="J19" s="240">
        <v>0</v>
      </c>
      <c r="K19" s="240">
        <v>353101.56</v>
      </c>
      <c r="L19" s="229">
        <v>702858.46</v>
      </c>
      <c r="M19" s="34"/>
    </row>
    <row r="20" spans="1:13" ht="12.75">
      <c r="A20" s="3" t="s">
        <v>8</v>
      </c>
      <c r="B20" s="249">
        <v>0</v>
      </c>
      <c r="C20" s="229">
        <v>0</v>
      </c>
      <c r="D20" s="229">
        <v>0</v>
      </c>
      <c r="E20" s="229">
        <v>0</v>
      </c>
      <c r="F20" s="229">
        <v>0</v>
      </c>
      <c r="G20" s="236">
        <v>7484.88</v>
      </c>
      <c r="H20" s="236"/>
      <c r="I20" s="240">
        <v>2885804.62</v>
      </c>
      <c r="J20" s="240">
        <v>28661</v>
      </c>
      <c r="K20" s="240">
        <v>278545.33</v>
      </c>
      <c r="L20" s="229">
        <v>679724.86</v>
      </c>
      <c r="M20" s="34"/>
    </row>
    <row r="21" spans="1:13" ht="12.75">
      <c r="A21" s="3" t="s">
        <v>9</v>
      </c>
      <c r="B21" s="249">
        <v>0</v>
      </c>
      <c r="C21" s="229">
        <v>0</v>
      </c>
      <c r="D21" s="248">
        <v>8562.98</v>
      </c>
      <c r="E21" s="248">
        <v>0</v>
      </c>
      <c r="F21" s="229">
        <v>0</v>
      </c>
      <c r="G21" s="236">
        <v>0</v>
      </c>
      <c r="H21" s="236"/>
      <c r="I21" s="240">
        <v>3677426.26</v>
      </c>
      <c r="J21" s="240">
        <v>41276</v>
      </c>
      <c r="K21" s="240">
        <v>524055.32</v>
      </c>
      <c r="L21" s="229">
        <v>1504935.08</v>
      </c>
      <c r="M21" s="34"/>
    </row>
    <row r="22" spans="1:13" ht="12.75">
      <c r="A22" s="3" t="s">
        <v>10</v>
      </c>
      <c r="B22" s="249">
        <v>0</v>
      </c>
      <c r="C22" s="229">
        <v>0</v>
      </c>
      <c r="D22" s="229">
        <v>0</v>
      </c>
      <c r="E22" s="229">
        <v>132868.12</v>
      </c>
      <c r="F22" s="229">
        <v>0</v>
      </c>
      <c r="G22" s="236">
        <v>0</v>
      </c>
      <c r="H22" s="236"/>
      <c r="I22" s="240">
        <v>1463791</v>
      </c>
      <c r="J22" s="240">
        <v>28718.24</v>
      </c>
      <c r="K22" s="240">
        <v>74552</v>
      </c>
      <c r="L22" s="229">
        <v>349276.73</v>
      </c>
      <c r="M22" s="34"/>
    </row>
    <row r="23" spans="1:13" ht="12.75">
      <c r="A23" s="3"/>
      <c r="B23" s="249"/>
      <c r="C23" s="229"/>
      <c r="D23" s="229"/>
      <c r="E23" s="229"/>
      <c r="F23" s="229"/>
      <c r="G23" s="229"/>
      <c r="H23" s="229"/>
      <c r="I23" s="240"/>
      <c r="J23" s="240"/>
      <c r="K23" s="240"/>
      <c r="L23" s="229"/>
      <c r="M23" s="34"/>
    </row>
    <row r="24" spans="1:13" ht="12.75">
      <c r="A24" s="3" t="s">
        <v>11</v>
      </c>
      <c r="B24" s="249">
        <v>0</v>
      </c>
      <c r="C24" s="229">
        <v>0</v>
      </c>
      <c r="D24" s="229">
        <v>0</v>
      </c>
      <c r="E24" s="229">
        <v>0</v>
      </c>
      <c r="F24" s="229">
        <v>0</v>
      </c>
      <c r="G24" s="236">
        <v>0</v>
      </c>
      <c r="H24" s="236"/>
      <c r="I24" s="240">
        <v>3955284.7</v>
      </c>
      <c r="J24" s="240">
        <v>99848</v>
      </c>
      <c r="K24" s="240">
        <v>589413.06</v>
      </c>
      <c r="L24" s="229">
        <v>1086036.7</v>
      </c>
      <c r="M24" s="34"/>
    </row>
    <row r="25" spans="1:13" ht="12.75">
      <c r="A25" s="3" t="s">
        <v>12</v>
      </c>
      <c r="B25" s="249">
        <v>0</v>
      </c>
      <c r="C25" s="229">
        <v>0</v>
      </c>
      <c r="D25" s="229">
        <v>0</v>
      </c>
      <c r="E25" s="229">
        <v>64972.03</v>
      </c>
      <c r="F25" s="229">
        <v>0</v>
      </c>
      <c r="G25" s="236">
        <v>0</v>
      </c>
      <c r="H25" s="236"/>
      <c r="I25" s="240">
        <v>1115417</v>
      </c>
      <c r="J25" s="240">
        <v>85610</v>
      </c>
      <c r="K25" s="240">
        <v>113069</v>
      </c>
      <c r="L25" s="229">
        <v>387400</v>
      </c>
      <c r="M25" s="34"/>
    </row>
    <row r="26" spans="1:13" ht="12.75">
      <c r="A26" s="3" t="s">
        <v>13</v>
      </c>
      <c r="B26" s="249">
        <v>0</v>
      </c>
      <c r="C26" s="229">
        <v>0</v>
      </c>
      <c r="D26" s="229">
        <v>0</v>
      </c>
      <c r="E26" s="229">
        <v>0</v>
      </c>
      <c r="F26" s="229">
        <v>0</v>
      </c>
      <c r="G26" s="236">
        <v>0</v>
      </c>
      <c r="H26" s="236"/>
      <c r="I26" s="240">
        <v>5382552</v>
      </c>
      <c r="J26" s="240">
        <v>13954</v>
      </c>
      <c r="K26" s="240">
        <v>852431</v>
      </c>
      <c r="L26" s="229">
        <v>1225242.2899999998</v>
      </c>
      <c r="M26" s="34"/>
    </row>
    <row r="27" spans="1:13" ht="12.75">
      <c r="A27" s="3" t="s">
        <v>14</v>
      </c>
      <c r="B27" s="249">
        <v>0</v>
      </c>
      <c r="C27" s="236">
        <v>0</v>
      </c>
      <c r="D27" s="229">
        <v>0</v>
      </c>
      <c r="E27" s="229">
        <v>0</v>
      </c>
      <c r="F27" s="229">
        <v>0</v>
      </c>
      <c r="G27" s="236">
        <v>0</v>
      </c>
      <c r="H27" s="236"/>
      <c r="I27" s="240">
        <v>3549468</v>
      </c>
      <c r="J27" s="240">
        <v>0</v>
      </c>
      <c r="K27" s="240">
        <v>674152</v>
      </c>
      <c r="L27" s="229">
        <v>999379.5900000001</v>
      </c>
      <c r="M27" s="34"/>
    </row>
    <row r="28" spans="1:13" ht="12.75">
      <c r="A28" s="3" t="s">
        <v>15</v>
      </c>
      <c r="B28" s="249">
        <v>0</v>
      </c>
      <c r="C28" s="229">
        <v>0</v>
      </c>
      <c r="D28" s="229">
        <v>0</v>
      </c>
      <c r="E28" s="229">
        <v>0</v>
      </c>
      <c r="F28" s="229">
        <v>0</v>
      </c>
      <c r="G28" s="236">
        <v>4383.12</v>
      </c>
      <c r="H28" s="236"/>
      <c r="I28" s="240">
        <v>722149.91</v>
      </c>
      <c r="J28" s="240">
        <v>73655</v>
      </c>
      <c r="K28" s="240">
        <v>57896.09</v>
      </c>
      <c r="L28" s="229">
        <v>59963.34</v>
      </c>
      <c r="M28" s="34"/>
    </row>
    <row r="29" spans="1:13" ht="12.75">
      <c r="A29" s="3"/>
      <c r="B29" s="249"/>
      <c r="C29" s="229"/>
      <c r="D29" s="229"/>
      <c r="E29" s="229"/>
      <c r="F29" s="229"/>
      <c r="G29" s="229"/>
      <c r="H29" s="229"/>
      <c r="I29" s="240"/>
      <c r="J29" s="240"/>
      <c r="K29" s="240"/>
      <c r="L29" s="229"/>
      <c r="M29" s="34"/>
    </row>
    <row r="30" spans="1:13" ht="12.75">
      <c r="A30" s="3" t="s">
        <v>16</v>
      </c>
      <c r="B30" s="249">
        <v>114820.77</v>
      </c>
      <c r="C30" s="229">
        <v>0</v>
      </c>
      <c r="D30" s="248">
        <v>21751.45</v>
      </c>
      <c r="E30" s="248">
        <v>921180.35</v>
      </c>
      <c r="F30" s="229">
        <v>0</v>
      </c>
      <c r="G30" s="236">
        <v>0</v>
      </c>
      <c r="H30" s="236"/>
      <c r="I30" s="240">
        <v>21440146</v>
      </c>
      <c r="J30" s="240">
        <v>72305</v>
      </c>
      <c r="K30" s="240">
        <v>2426383</v>
      </c>
      <c r="L30" s="229">
        <v>4118098.1399999997</v>
      </c>
      <c r="M30" s="34"/>
    </row>
    <row r="31" spans="1:13" ht="12.75">
      <c r="A31" s="3" t="s">
        <v>17</v>
      </c>
      <c r="B31" s="249">
        <v>0</v>
      </c>
      <c r="C31" s="229">
        <v>0</v>
      </c>
      <c r="D31" s="248">
        <v>0</v>
      </c>
      <c r="E31" s="248">
        <v>351111.67</v>
      </c>
      <c r="F31" s="229">
        <v>0</v>
      </c>
      <c r="G31" s="236">
        <v>0</v>
      </c>
      <c r="H31" s="236"/>
      <c r="I31" s="240">
        <v>34490697</v>
      </c>
      <c r="J31" s="240">
        <v>89764.3</v>
      </c>
      <c r="K31" s="240">
        <v>2496094</v>
      </c>
      <c r="L31" s="229">
        <v>5736936.19</v>
      </c>
      <c r="M31" s="34"/>
    </row>
    <row r="32" spans="1:13" ht="12.75">
      <c r="A32" s="3" t="s">
        <v>18</v>
      </c>
      <c r="B32" s="249">
        <v>0</v>
      </c>
      <c r="C32" s="229">
        <v>0</v>
      </c>
      <c r="D32" s="229">
        <v>0</v>
      </c>
      <c r="E32" s="229">
        <v>0</v>
      </c>
      <c r="F32" s="229">
        <v>0</v>
      </c>
      <c r="G32" s="236">
        <v>0</v>
      </c>
      <c r="H32" s="236"/>
      <c r="I32" s="240">
        <v>765729.56</v>
      </c>
      <c r="J32" s="240">
        <v>0</v>
      </c>
      <c r="K32" s="229">
        <v>0</v>
      </c>
      <c r="L32" s="229">
        <v>266047.22</v>
      </c>
      <c r="M32" s="34"/>
    </row>
    <row r="33" spans="1:13" ht="12.75">
      <c r="A33" s="3" t="s">
        <v>19</v>
      </c>
      <c r="B33" s="249">
        <v>0</v>
      </c>
      <c r="C33" s="229">
        <v>0</v>
      </c>
      <c r="D33" s="229">
        <v>0</v>
      </c>
      <c r="E33" s="229">
        <v>0</v>
      </c>
      <c r="F33" s="229">
        <v>0</v>
      </c>
      <c r="G33" s="229">
        <v>5861.03</v>
      </c>
      <c r="H33" s="229"/>
      <c r="I33" s="240">
        <v>2460507.63</v>
      </c>
      <c r="J33" s="240">
        <v>18966</v>
      </c>
      <c r="K33" s="240">
        <v>344276</v>
      </c>
      <c r="L33" s="229">
        <v>710411.32</v>
      </c>
      <c r="M33" s="34"/>
    </row>
    <row r="34" spans="1:13" ht="12.75">
      <c r="A34" s="3" t="s">
        <v>20</v>
      </c>
      <c r="B34" s="249">
        <v>0</v>
      </c>
      <c r="C34" s="229">
        <v>17094.76</v>
      </c>
      <c r="D34" s="229">
        <v>0</v>
      </c>
      <c r="E34" s="229">
        <v>480551.42</v>
      </c>
      <c r="F34" s="229">
        <v>0</v>
      </c>
      <c r="G34" s="236">
        <v>0</v>
      </c>
      <c r="H34" s="236"/>
      <c r="I34" s="240">
        <v>973111.4</v>
      </c>
      <c r="J34" s="240">
        <v>34536.25</v>
      </c>
      <c r="K34" s="240">
        <v>37682</v>
      </c>
      <c r="L34" s="229">
        <v>278766</v>
      </c>
      <c r="M34" s="34"/>
    </row>
    <row r="35" spans="1:13" ht="12.75">
      <c r="A35" s="3"/>
      <c r="B35" s="249"/>
      <c r="C35" s="229"/>
      <c r="D35" s="229"/>
      <c r="E35" s="229"/>
      <c r="F35" s="229"/>
      <c r="G35" s="229"/>
      <c r="H35" s="229"/>
      <c r="I35" s="240"/>
      <c r="J35" s="240"/>
      <c r="K35" s="240"/>
      <c r="L35" s="229"/>
      <c r="M35" s="34"/>
    </row>
    <row r="36" spans="1:13" ht="12.75">
      <c r="A36" s="3" t="s">
        <v>21</v>
      </c>
      <c r="B36" s="249">
        <v>0</v>
      </c>
      <c r="C36" s="229">
        <v>0</v>
      </c>
      <c r="D36" s="229">
        <v>0</v>
      </c>
      <c r="E36" s="229">
        <v>0</v>
      </c>
      <c r="F36" s="229">
        <v>0</v>
      </c>
      <c r="G36" s="229">
        <v>0</v>
      </c>
      <c r="H36" s="229"/>
      <c r="I36" s="240">
        <v>752892.73</v>
      </c>
      <c r="J36" s="240">
        <v>0</v>
      </c>
      <c r="K36" s="229">
        <v>60061.43</v>
      </c>
      <c r="L36" s="229">
        <v>250577.13</v>
      </c>
      <c r="M36" s="34"/>
    </row>
    <row r="37" spans="1:13" ht="12.75">
      <c r="A37" s="3" t="s">
        <v>22</v>
      </c>
      <c r="B37" s="249">
        <v>0</v>
      </c>
      <c r="C37" s="229">
        <v>323650.57</v>
      </c>
      <c r="D37" s="229">
        <v>0</v>
      </c>
      <c r="E37" s="229">
        <v>0</v>
      </c>
      <c r="F37" s="229">
        <v>312734.49</v>
      </c>
      <c r="G37" s="229">
        <v>0</v>
      </c>
      <c r="H37" s="229"/>
      <c r="I37" s="240">
        <v>5382075.05</v>
      </c>
      <c r="J37" s="240">
        <v>90212.54</v>
      </c>
      <c r="K37" s="240">
        <v>535810</v>
      </c>
      <c r="L37" s="229">
        <v>911936.94</v>
      </c>
      <c r="M37" s="34"/>
    </row>
    <row r="38" spans="1:13" ht="12.75">
      <c r="A38" s="3" t="s">
        <v>23</v>
      </c>
      <c r="B38" s="249">
        <v>0</v>
      </c>
      <c r="C38" s="229">
        <v>708975.88</v>
      </c>
      <c r="D38" s="229">
        <v>0</v>
      </c>
      <c r="E38" s="229">
        <v>0</v>
      </c>
      <c r="F38" s="229">
        <v>0</v>
      </c>
      <c r="G38" s="229">
        <v>0</v>
      </c>
      <c r="H38" s="229"/>
      <c r="I38" s="240">
        <v>3918640.94</v>
      </c>
      <c r="J38" s="240">
        <v>105604.33</v>
      </c>
      <c r="K38" s="229">
        <v>235693.3</v>
      </c>
      <c r="L38" s="229">
        <v>583012</v>
      </c>
      <c r="M38" s="34"/>
    </row>
    <row r="39" spans="1:13" ht="12.75">
      <c r="A39" s="12" t="s">
        <v>24</v>
      </c>
      <c r="B39" s="258">
        <v>0</v>
      </c>
      <c r="C39" s="230">
        <v>5216.61</v>
      </c>
      <c r="D39" s="230">
        <v>0</v>
      </c>
      <c r="E39" s="265">
        <v>0</v>
      </c>
      <c r="F39" s="230">
        <v>0</v>
      </c>
      <c r="G39" s="230">
        <v>0</v>
      </c>
      <c r="H39" s="230"/>
      <c r="I39" s="242">
        <v>1472422.27</v>
      </c>
      <c r="J39" s="242">
        <v>17022</v>
      </c>
      <c r="K39" s="230">
        <v>0</v>
      </c>
      <c r="L39" s="230">
        <v>286176.27</v>
      </c>
      <c r="M39" s="34"/>
    </row>
    <row r="40" spans="1:13" ht="12.75">
      <c r="A40" s="3"/>
      <c r="B40" s="3"/>
      <c r="C40" s="3"/>
      <c r="D40" s="3"/>
      <c r="E40" s="271"/>
      <c r="F40" s="271"/>
      <c r="G40" s="271"/>
      <c r="H40" s="271"/>
      <c r="I40" s="229"/>
      <c r="J40" s="229"/>
      <c r="K40" s="229"/>
      <c r="L40" s="270"/>
      <c r="M40" s="34"/>
    </row>
    <row r="41" spans="1:12" ht="12.75">
      <c r="A41" s="3"/>
      <c r="B41" s="3"/>
      <c r="C41" s="3"/>
      <c r="D41" s="3"/>
      <c r="E41" s="271"/>
      <c r="F41" s="271"/>
      <c r="G41" s="271"/>
      <c r="H41" s="271"/>
      <c r="I41" s="229"/>
      <c r="J41" s="229"/>
      <c r="K41" s="229"/>
      <c r="L41" s="270"/>
    </row>
    <row r="42" spans="1:12" ht="12.75">
      <c r="A42" s="3"/>
      <c r="B42" s="3"/>
      <c r="C42" s="3"/>
      <c r="D42" s="3"/>
      <c r="E42" s="271"/>
      <c r="F42" s="271"/>
      <c r="G42" s="229"/>
      <c r="H42" s="229"/>
      <c r="I42" s="229"/>
      <c r="J42" s="229"/>
      <c r="K42" s="270"/>
      <c r="L42" s="34"/>
    </row>
    <row r="43" spans="1:12" ht="12.75">
      <c r="A43" s="3"/>
      <c r="B43" s="3"/>
      <c r="C43" s="3"/>
      <c r="D43" s="3"/>
      <c r="E43" s="271"/>
      <c r="F43" s="271"/>
      <c r="G43" s="229"/>
      <c r="H43" s="229"/>
      <c r="I43" s="229"/>
      <c r="J43" s="229"/>
      <c r="K43" s="270"/>
      <c r="L43" s="34"/>
    </row>
    <row r="44" spans="1:12" ht="12.75">
      <c r="A44" s="3"/>
      <c r="B44" s="3"/>
      <c r="C44" s="3"/>
      <c r="D44" s="3"/>
      <c r="E44" s="271"/>
      <c r="F44" s="271"/>
      <c r="G44" s="229"/>
      <c r="H44" s="229"/>
      <c r="I44" s="229"/>
      <c r="J44" s="229"/>
      <c r="K44" s="270"/>
      <c r="L44" s="34"/>
    </row>
    <row r="45" spans="1:12" ht="12.75">
      <c r="A45" s="3"/>
      <c r="B45" s="3"/>
      <c r="C45" s="3"/>
      <c r="D45" s="3"/>
      <c r="E45" s="271"/>
      <c r="F45" s="271"/>
      <c r="G45" s="229"/>
      <c r="H45" s="229"/>
      <c r="I45" s="229"/>
      <c r="J45" s="229"/>
      <c r="K45" s="270"/>
      <c r="L45" s="34"/>
    </row>
    <row r="46" spans="1:12" ht="12.75">
      <c r="A46" s="3"/>
      <c r="B46" s="3"/>
      <c r="C46" s="3"/>
      <c r="D46" s="3"/>
      <c r="E46" s="271"/>
      <c r="F46" s="271"/>
      <c r="G46" s="229"/>
      <c r="H46" s="229"/>
      <c r="I46" s="229"/>
      <c r="J46" s="229"/>
      <c r="K46" s="270"/>
      <c r="L46" s="34"/>
    </row>
    <row r="47" spans="1:12" ht="12.75">
      <c r="A47" s="3"/>
      <c r="B47" s="3"/>
      <c r="C47" s="3"/>
      <c r="D47" s="3"/>
      <c r="E47" s="232"/>
      <c r="F47" s="232"/>
      <c r="G47" s="234"/>
      <c r="H47" s="234"/>
      <c r="I47" s="234"/>
      <c r="J47" s="234"/>
      <c r="L47" s="34"/>
    </row>
    <row r="48" spans="1:12" ht="12.75">
      <c r="A48" s="3"/>
      <c r="B48" s="3"/>
      <c r="C48" s="3"/>
      <c r="D48" s="3"/>
      <c r="E48" s="232"/>
      <c r="F48" s="232"/>
      <c r="G48" s="229"/>
      <c r="H48" s="229"/>
      <c r="I48" s="234"/>
      <c r="J48" s="234"/>
      <c r="L48"/>
    </row>
    <row r="49" spans="1:12" ht="12.75">
      <c r="A49" s="3"/>
      <c r="B49" s="3"/>
      <c r="C49" s="3"/>
      <c r="D49" s="3"/>
      <c r="E49" s="232"/>
      <c r="F49" s="232"/>
      <c r="G49" s="229"/>
      <c r="H49" s="229"/>
      <c r="I49" s="234"/>
      <c r="J49" s="234"/>
      <c r="L49"/>
    </row>
    <row r="50" spans="1:12" ht="12.75">
      <c r="A50" s="3"/>
      <c r="B50" s="3"/>
      <c r="C50" s="3"/>
      <c r="D50" s="3"/>
      <c r="E50" s="232"/>
      <c r="F50" s="232"/>
      <c r="G50" s="229"/>
      <c r="H50" s="229"/>
      <c r="I50" s="234"/>
      <c r="J50" s="234"/>
      <c r="L50"/>
    </row>
    <row r="51" spans="1:12" ht="12.75">
      <c r="A51" s="3"/>
      <c r="B51" s="3"/>
      <c r="C51" s="3"/>
      <c r="D51" s="3"/>
      <c r="E51" s="232"/>
      <c r="F51" s="232"/>
      <c r="G51" s="229"/>
      <c r="H51" s="229"/>
      <c r="I51" s="234"/>
      <c r="J51" s="234"/>
      <c r="L51"/>
    </row>
    <row r="52" spans="7:12" ht="12.75">
      <c r="G52" s="229"/>
      <c r="H52" s="229"/>
      <c r="L52"/>
    </row>
    <row r="53" spans="1:12" ht="12.75">
      <c r="A53" s="3"/>
      <c r="B53" s="3"/>
      <c r="C53" s="3"/>
      <c r="D53" s="3"/>
      <c r="E53" s="232"/>
      <c r="F53" s="232"/>
      <c r="G53" s="234"/>
      <c r="H53" s="234"/>
      <c r="I53" s="234"/>
      <c r="J53" s="234"/>
      <c r="L53"/>
    </row>
    <row r="54" spans="1:12" ht="12.75">
      <c r="A54" s="3"/>
      <c r="B54" s="3"/>
      <c r="C54" s="3"/>
      <c r="D54" s="3"/>
      <c r="E54" s="232"/>
      <c r="F54" s="232"/>
      <c r="G54" s="229"/>
      <c r="H54" s="229"/>
      <c r="I54" s="234"/>
      <c r="J54" s="234"/>
      <c r="L54"/>
    </row>
    <row r="55" spans="1:12" ht="12.75">
      <c r="A55" s="3"/>
      <c r="B55" s="3"/>
      <c r="C55" s="3"/>
      <c r="D55" s="3"/>
      <c r="E55" s="232"/>
      <c r="F55" s="232"/>
      <c r="G55" s="229"/>
      <c r="H55" s="229"/>
      <c r="L55"/>
    </row>
    <row r="56" spans="1:12" ht="12.75">
      <c r="A56" s="3"/>
      <c r="B56" s="3"/>
      <c r="C56" s="3"/>
      <c r="D56" s="3"/>
      <c r="E56" s="232"/>
      <c r="F56" s="232"/>
      <c r="G56" s="229"/>
      <c r="H56" s="229"/>
      <c r="L56"/>
    </row>
    <row r="57" spans="1:12" ht="12.75">
      <c r="A57" s="3"/>
      <c r="B57" s="3"/>
      <c r="C57" s="3"/>
      <c r="D57" s="3"/>
      <c r="E57" s="232"/>
      <c r="F57" s="232"/>
      <c r="G57" s="336"/>
      <c r="H57" s="336"/>
      <c r="L57"/>
    </row>
    <row r="58" spans="1:12" ht="12.75">
      <c r="A58" s="3"/>
      <c r="B58" s="3"/>
      <c r="C58" s="3"/>
      <c r="D58" s="3"/>
      <c r="E58" s="232"/>
      <c r="F58" s="232"/>
      <c r="G58" s="229"/>
      <c r="H58" s="229"/>
      <c r="L58"/>
    </row>
    <row r="59" spans="1:12" ht="12.75">
      <c r="A59" s="3"/>
      <c r="B59" s="3"/>
      <c r="C59" s="3"/>
      <c r="D59" s="3"/>
      <c r="E59" s="232"/>
      <c r="F59" s="232"/>
      <c r="L59"/>
    </row>
    <row r="60" spans="1:12" ht="12.75">
      <c r="A60" s="3"/>
      <c r="B60" s="3"/>
      <c r="C60" s="3"/>
      <c r="D60" s="3"/>
      <c r="E60" s="232"/>
      <c r="F60" s="232"/>
      <c r="G60" s="229"/>
      <c r="H60" s="229"/>
      <c r="L60"/>
    </row>
    <row r="61" spans="1:12" ht="12.75">
      <c r="A61" s="3"/>
      <c r="B61" s="3"/>
      <c r="C61" s="3"/>
      <c r="D61" s="3"/>
      <c r="E61" s="232"/>
      <c r="F61" s="232"/>
      <c r="G61" s="229"/>
      <c r="H61" s="229"/>
      <c r="L61"/>
    </row>
    <row r="62" spans="1:12" ht="12.75">
      <c r="A62" s="3"/>
      <c r="B62" s="3"/>
      <c r="C62" s="3"/>
      <c r="D62" s="3"/>
      <c r="E62" s="232"/>
      <c r="F62" s="232"/>
      <c r="G62" s="229"/>
      <c r="H62" s="229"/>
      <c r="L62"/>
    </row>
    <row r="63" spans="1:12" ht="12.75">
      <c r="A63" s="3"/>
      <c r="B63" s="3"/>
      <c r="C63" s="3"/>
      <c r="D63" s="3"/>
      <c r="E63" s="232"/>
      <c r="F63" s="232"/>
      <c r="G63" s="229"/>
      <c r="H63" s="229"/>
      <c r="L63"/>
    </row>
    <row r="64" spans="1:12" ht="12.75">
      <c r="A64" s="3"/>
      <c r="B64" s="3"/>
      <c r="C64" s="3"/>
      <c r="D64" s="3"/>
      <c r="E64" s="232"/>
      <c r="F64" s="232"/>
      <c r="G64" s="336"/>
      <c r="H64" s="336"/>
      <c r="L64"/>
    </row>
    <row r="65" spans="1:12" ht="12.75">
      <c r="A65" s="3"/>
      <c r="B65" s="3"/>
      <c r="C65" s="3"/>
      <c r="D65" s="3"/>
      <c r="E65" s="232"/>
      <c r="F65" s="232"/>
      <c r="L65"/>
    </row>
    <row r="66" spans="1:9" ht="12.75">
      <c r="A66" s="3"/>
      <c r="B66" s="3"/>
      <c r="C66" s="3"/>
      <c r="D66" s="3"/>
      <c r="E66" s="232"/>
      <c r="F66" s="232"/>
      <c r="G66" s="232"/>
      <c r="H66" s="232"/>
      <c r="I66" s="229"/>
    </row>
    <row r="67" spans="1:9" ht="12.75">
      <c r="A67" s="3"/>
      <c r="B67" s="3"/>
      <c r="C67" s="3"/>
      <c r="D67" s="3"/>
      <c r="E67" s="232"/>
      <c r="F67" s="232"/>
      <c r="G67" s="232"/>
      <c r="H67" s="232"/>
      <c r="I67" s="229"/>
    </row>
    <row r="68" spans="1:9" ht="12.75">
      <c r="A68" s="3"/>
      <c r="B68" s="3"/>
      <c r="C68" s="3"/>
      <c r="D68" s="3"/>
      <c r="E68" s="232"/>
      <c r="F68" s="232"/>
      <c r="G68" s="232"/>
      <c r="H68" s="232"/>
      <c r="I68" s="229"/>
    </row>
    <row r="69" spans="1:9" ht="12.75">
      <c r="A69" s="3"/>
      <c r="B69" s="3"/>
      <c r="C69" s="3"/>
      <c r="D69" s="3"/>
      <c r="E69" s="232"/>
      <c r="F69" s="232"/>
      <c r="G69" s="232"/>
      <c r="H69" s="232"/>
      <c r="I69" s="229"/>
    </row>
    <row r="70" spans="1:9" ht="12.75">
      <c r="A70" s="3"/>
      <c r="B70" s="3"/>
      <c r="C70" s="3"/>
      <c r="D70" s="3"/>
      <c r="E70" s="232"/>
      <c r="F70" s="232"/>
      <c r="G70" s="232"/>
      <c r="H70" s="232"/>
      <c r="I70" s="337"/>
    </row>
    <row r="71" spans="1:8" ht="12.75">
      <c r="A71" s="3"/>
      <c r="B71" s="3"/>
      <c r="C71" s="3"/>
      <c r="D71" s="3"/>
      <c r="E71" s="232"/>
      <c r="F71" s="232"/>
      <c r="G71" s="232"/>
      <c r="H71" s="232"/>
    </row>
    <row r="72" spans="1:8" ht="12.75">
      <c r="A72" s="3"/>
      <c r="B72" s="3"/>
      <c r="C72" s="3"/>
      <c r="D72" s="3"/>
      <c r="E72" s="232"/>
      <c r="F72" s="232"/>
      <c r="G72" s="232"/>
      <c r="H72" s="232"/>
    </row>
    <row r="73" spans="1:8" ht="12.75">
      <c r="A73" s="3"/>
      <c r="B73" s="3"/>
      <c r="C73" s="3"/>
      <c r="D73" s="3"/>
      <c r="E73" s="232"/>
      <c r="F73" s="232"/>
      <c r="G73" s="232"/>
      <c r="H73" s="232"/>
    </row>
    <row r="74" spans="1:8" ht="12.75">
      <c r="A74" s="3"/>
      <c r="B74" s="3"/>
      <c r="C74" s="3"/>
      <c r="D74" s="3"/>
      <c r="E74" s="232"/>
      <c r="F74" s="232"/>
      <c r="G74" s="232"/>
      <c r="H74" s="232"/>
    </row>
    <row r="75" spans="1:8" ht="12.75">
      <c r="A75" s="3"/>
      <c r="B75" s="3"/>
      <c r="C75" s="3"/>
      <c r="D75" s="3"/>
      <c r="E75" s="232"/>
      <c r="F75" s="232"/>
      <c r="G75" s="232"/>
      <c r="H75" s="232"/>
    </row>
    <row r="76" spans="1:8" ht="12.75">
      <c r="A76" s="3"/>
      <c r="B76" s="3"/>
      <c r="C76" s="3"/>
      <c r="D76" s="3"/>
      <c r="E76" s="232"/>
      <c r="F76" s="232"/>
      <c r="G76" s="232"/>
      <c r="H76" s="232"/>
    </row>
    <row r="77" spans="1:8" ht="12.75">
      <c r="A77" s="3"/>
      <c r="B77" s="3"/>
      <c r="C77" s="3"/>
      <c r="D77" s="3"/>
      <c r="E77" s="232"/>
      <c r="F77" s="232"/>
      <c r="G77" s="232"/>
      <c r="H77" s="232"/>
    </row>
    <row r="78" spans="1:8" ht="12.75">
      <c r="A78" s="3"/>
      <c r="B78" s="3"/>
      <c r="C78" s="3"/>
      <c r="D78" s="3"/>
      <c r="E78" s="232"/>
      <c r="F78" s="232"/>
      <c r="G78" s="232"/>
      <c r="H78" s="232"/>
    </row>
    <row r="79" spans="1:8" ht="12.75">
      <c r="A79" s="3"/>
      <c r="B79" s="3"/>
      <c r="C79" s="3"/>
      <c r="D79" s="3"/>
      <c r="E79" s="232"/>
      <c r="F79" s="232"/>
      <c r="G79" s="232"/>
      <c r="H79" s="232"/>
    </row>
    <row r="80" spans="1:8" ht="12.75">
      <c r="A80" s="3"/>
      <c r="B80" s="3"/>
      <c r="C80" s="3"/>
      <c r="D80" s="3"/>
      <c r="E80" s="232"/>
      <c r="F80" s="232"/>
      <c r="G80" s="232"/>
      <c r="H80" s="232"/>
    </row>
    <row r="81" spans="1:8" ht="12.75">
      <c r="A81" s="3"/>
      <c r="B81" s="3"/>
      <c r="C81" s="3"/>
      <c r="D81" s="3"/>
      <c r="E81" s="232"/>
      <c r="F81" s="232"/>
      <c r="G81" s="232"/>
      <c r="H81" s="232"/>
    </row>
    <row r="82" spans="1:8" ht="12.75">
      <c r="A82" s="3"/>
      <c r="B82" s="3"/>
      <c r="C82" s="3"/>
      <c r="D82" s="3"/>
      <c r="E82" s="232"/>
      <c r="F82" s="232"/>
      <c r="G82" s="232"/>
      <c r="H82" s="232"/>
    </row>
    <row r="83" spans="1:8" ht="12.75">
      <c r="A83" s="3"/>
      <c r="B83" s="3"/>
      <c r="C83" s="3"/>
      <c r="D83" s="3"/>
      <c r="E83" s="232"/>
      <c r="F83" s="232"/>
      <c r="G83" s="232"/>
      <c r="H83" s="232"/>
    </row>
    <row r="84" spans="1:8" ht="12.75">
      <c r="A84" s="3"/>
      <c r="B84" s="3"/>
      <c r="C84" s="3"/>
      <c r="D84" s="3"/>
      <c r="E84" s="232"/>
      <c r="F84" s="232"/>
      <c r="G84" s="232"/>
      <c r="H84" s="232"/>
    </row>
  </sheetData>
  <sheetProtection password="CAF5" sheet="1"/>
  <mergeCells count="9">
    <mergeCell ref="J6:J9"/>
    <mergeCell ref="G6:G9"/>
    <mergeCell ref="C7:C9"/>
    <mergeCell ref="B5:G5"/>
    <mergeCell ref="A1:L1"/>
    <mergeCell ref="A3:L3"/>
    <mergeCell ref="L5:L9"/>
    <mergeCell ref="I5:K5"/>
    <mergeCell ref="F6:F9"/>
  </mergeCells>
  <printOptions horizontalCentered="1"/>
  <pageMargins left="0.45" right="0.52" top="0.83" bottom="1" header="0.67" footer="0.5"/>
  <pageSetup fitToHeight="1" fitToWidth="1" horizontalDpi="600" verticalDpi="600" orientation="landscape" scale="78" r:id="rId1"/>
  <headerFooter scaleWithDoc="0" alignWithMargins="0">
    <oddFooter>&amp;L&amp;"Arial,Italic"MSDE - LFRO   10  / 2011&amp;C- 14 -&amp;R&amp;"Arial,Italic"Selected Financial Data-Part 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PageLayoutView="0" workbookViewId="0" topLeftCell="A28">
      <selection activeCell="K40" sqref="K40"/>
    </sheetView>
  </sheetViews>
  <sheetFormatPr defaultColWidth="9.140625" defaultRowHeight="12.75"/>
  <cols>
    <col min="1" max="7" width="17.57421875" style="0" customWidth="1"/>
    <col min="8" max="8" width="14.28125" style="264" customWidth="1"/>
    <col min="9" max="9" width="12.8515625" style="264" customWidth="1"/>
    <col min="10" max="10" width="13.00390625" style="264" customWidth="1"/>
    <col min="11" max="11" width="11.421875" style="264" customWidth="1"/>
  </cols>
  <sheetData>
    <row r="1" spans="1:11" ht="12.75">
      <c r="A1" s="458" t="s">
        <v>124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0" ht="12.75">
      <c r="A2" s="3"/>
      <c r="B2" s="3"/>
      <c r="C2" s="3"/>
      <c r="D2" s="3"/>
      <c r="E2" s="3"/>
      <c r="F2" s="3"/>
      <c r="G2" s="3"/>
      <c r="H2" s="232"/>
      <c r="I2" s="232"/>
      <c r="J2" s="232"/>
    </row>
    <row r="3" spans="1:11" ht="12.75">
      <c r="A3" s="464" t="s">
        <v>262</v>
      </c>
      <c r="B3" s="464"/>
      <c r="C3" s="464"/>
      <c r="D3" s="464"/>
      <c r="E3" s="464"/>
      <c r="F3" s="464"/>
      <c r="G3" s="464"/>
      <c r="H3" s="458"/>
      <c r="I3" s="458"/>
      <c r="J3" s="458"/>
      <c r="K3" s="458"/>
    </row>
    <row r="4" spans="1:16" ht="15" customHeight="1" thickBot="1">
      <c r="A4" s="3"/>
      <c r="B4" s="3"/>
      <c r="C4" s="3"/>
      <c r="D4" s="3"/>
      <c r="E4" s="3"/>
      <c r="F4" s="3"/>
      <c r="G4" s="3"/>
      <c r="H4" s="232"/>
      <c r="I4" s="232"/>
      <c r="J4" s="232"/>
      <c r="K4" s="232"/>
      <c r="P4" s="3"/>
    </row>
    <row r="5" spans="1:15" ht="17.25" customHeight="1" thickTop="1">
      <c r="A5" s="6"/>
      <c r="B5" s="478" t="s">
        <v>69</v>
      </c>
      <c r="C5" s="478"/>
      <c r="D5" s="478"/>
      <c r="E5" s="478"/>
      <c r="F5" s="479"/>
      <c r="G5" s="479"/>
      <c r="H5" s="233"/>
      <c r="I5" s="260"/>
      <c r="J5" s="260"/>
      <c r="K5" s="260" t="s">
        <v>158</v>
      </c>
      <c r="O5" s="3"/>
    </row>
    <row r="6" spans="1:15" ht="12.75" customHeight="1">
      <c r="A6" s="3"/>
      <c r="B6" s="264"/>
      <c r="C6" s="264"/>
      <c r="D6" s="254" t="s">
        <v>144</v>
      </c>
      <c r="E6" s="254" t="s">
        <v>241</v>
      </c>
      <c r="F6" s="254" t="s">
        <v>241</v>
      </c>
      <c r="G6" s="254" t="s">
        <v>241</v>
      </c>
      <c r="H6" s="232"/>
      <c r="I6" s="255" t="s">
        <v>145</v>
      </c>
      <c r="J6" s="461" t="s">
        <v>188</v>
      </c>
      <c r="K6" s="255" t="s">
        <v>159</v>
      </c>
      <c r="O6" s="3"/>
    </row>
    <row r="7" spans="1:15" ht="12.75">
      <c r="A7" s="3" t="s">
        <v>80</v>
      </c>
      <c r="B7" s="264"/>
      <c r="C7" s="255"/>
      <c r="D7" s="255" t="s">
        <v>125</v>
      </c>
      <c r="E7" s="471" t="s">
        <v>263</v>
      </c>
      <c r="F7" s="471" t="s">
        <v>256</v>
      </c>
      <c r="G7" s="482" t="s">
        <v>264</v>
      </c>
      <c r="H7" s="232"/>
      <c r="I7" s="255" t="s">
        <v>35</v>
      </c>
      <c r="J7" s="475"/>
      <c r="K7" s="255" t="s">
        <v>160</v>
      </c>
      <c r="O7" s="3"/>
    </row>
    <row r="8" spans="1:15" ht="12.75">
      <c r="A8" s="3" t="s">
        <v>33</v>
      </c>
      <c r="B8" s="266" t="s">
        <v>143</v>
      </c>
      <c r="C8" s="255" t="s">
        <v>143</v>
      </c>
      <c r="D8" s="255" t="s">
        <v>31</v>
      </c>
      <c r="E8" s="446"/>
      <c r="F8" s="446"/>
      <c r="G8" s="439"/>
      <c r="H8" s="255" t="s">
        <v>195</v>
      </c>
      <c r="I8" s="255" t="s">
        <v>68</v>
      </c>
      <c r="J8" s="475"/>
      <c r="K8" s="255" t="s">
        <v>161</v>
      </c>
      <c r="O8" s="3"/>
    </row>
    <row r="9" spans="1:15" ht="16.5" customHeight="1" thickBot="1">
      <c r="A9" s="7" t="s">
        <v>137</v>
      </c>
      <c r="B9" s="267" t="s">
        <v>149</v>
      </c>
      <c r="C9" s="257" t="s">
        <v>54</v>
      </c>
      <c r="D9" s="257" t="s">
        <v>126</v>
      </c>
      <c r="E9" s="430"/>
      <c r="F9" s="430"/>
      <c r="G9" s="433"/>
      <c r="H9" s="257" t="s">
        <v>34</v>
      </c>
      <c r="I9" s="257" t="s">
        <v>55</v>
      </c>
      <c r="J9" s="474"/>
      <c r="K9" s="257" t="s">
        <v>162</v>
      </c>
      <c r="O9" s="3"/>
    </row>
    <row r="10" spans="1:15" s="45" customFormat="1" ht="12.75">
      <c r="A10" s="49" t="s">
        <v>0</v>
      </c>
      <c r="B10" s="268">
        <f aca="true" t="shared" si="0" ref="B10:G10">SUM(B12:B39)</f>
        <v>187701192.07</v>
      </c>
      <c r="C10" s="268">
        <f t="shared" si="0"/>
        <v>5385419.980000002</v>
      </c>
      <c r="D10" s="268">
        <f t="shared" si="0"/>
        <v>1792856.8499999996</v>
      </c>
      <c r="E10" s="268">
        <f t="shared" si="0"/>
        <v>81561084.41</v>
      </c>
      <c r="F10" s="268">
        <f t="shared" si="0"/>
        <v>1886135.0299999998</v>
      </c>
      <c r="G10" s="268">
        <f t="shared" si="0"/>
        <v>2254342.2600000007</v>
      </c>
      <c r="H10" s="350">
        <f>SUM(H12:H39)</f>
        <v>1450144.1199999999</v>
      </c>
      <c r="I10" s="350">
        <f>SUM(I12:I39)</f>
        <v>339720.51999999996</v>
      </c>
      <c r="J10" s="268">
        <f>SUM(J12:J39)</f>
        <v>8666130.17</v>
      </c>
      <c r="K10" s="268">
        <f>SUM(K12:K39)</f>
        <v>1618027.3499999999</v>
      </c>
      <c r="O10" s="16"/>
    </row>
    <row r="11" spans="1:15" ht="12.75">
      <c r="A11" s="3"/>
      <c r="B11" s="3"/>
      <c r="C11" s="3"/>
      <c r="D11" s="3"/>
      <c r="E11" s="3"/>
      <c r="F11" s="3"/>
      <c r="G11" s="3"/>
      <c r="H11" s="232"/>
      <c r="I11" s="262"/>
      <c r="J11" s="262"/>
      <c r="K11" s="262"/>
      <c r="O11" s="3"/>
    </row>
    <row r="12" spans="1:15" ht="12.75">
      <c r="A12" s="3" t="s">
        <v>1</v>
      </c>
      <c r="B12" s="229">
        <v>2679306.8699999996</v>
      </c>
      <c r="C12" s="229">
        <v>97808.45</v>
      </c>
      <c r="D12" s="229">
        <v>86084</v>
      </c>
      <c r="E12" s="229">
        <v>918773.32</v>
      </c>
      <c r="F12" s="229">
        <v>41901.41</v>
      </c>
      <c r="G12" s="229">
        <v>115701.68000000001</v>
      </c>
      <c r="H12" s="229">
        <v>0</v>
      </c>
      <c r="I12" s="236">
        <v>15000</v>
      </c>
      <c r="J12" s="229">
        <v>451464.7</v>
      </c>
      <c r="K12" s="229">
        <v>206476.4</v>
      </c>
      <c r="O12" s="15"/>
    </row>
    <row r="13" spans="1:15" ht="12.75">
      <c r="A13" s="3" t="s">
        <v>2</v>
      </c>
      <c r="B13" s="229">
        <v>16948754.9</v>
      </c>
      <c r="C13" s="229">
        <v>477019.94</v>
      </c>
      <c r="D13" s="229">
        <v>677896.52</v>
      </c>
      <c r="E13" s="229">
        <v>7270822.680000001</v>
      </c>
      <c r="F13" s="229">
        <v>210293.48</v>
      </c>
      <c r="G13" s="229">
        <v>458061.26</v>
      </c>
      <c r="H13" s="229">
        <v>390790.82</v>
      </c>
      <c r="I13" s="357">
        <v>26683.56</v>
      </c>
      <c r="J13" s="229">
        <v>326439.76</v>
      </c>
      <c r="K13" s="263">
        <v>0</v>
      </c>
      <c r="O13" s="15"/>
    </row>
    <row r="14" spans="1:15" ht="12.75">
      <c r="A14" s="3" t="s">
        <v>3</v>
      </c>
      <c r="B14" s="229">
        <v>23441665.459999997</v>
      </c>
      <c r="C14" s="229">
        <v>762255.5</v>
      </c>
      <c r="D14" s="236">
        <v>0</v>
      </c>
      <c r="E14" s="236">
        <v>7651812.590000001</v>
      </c>
      <c r="F14" s="229">
        <v>235956.64</v>
      </c>
      <c r="G14" s="229">
        <v>0</v>
      </c>
      <c r="H14" s="229">
        <v>927744.64</v>
      </c>
      <c r="I14" s="236">
        <v>11372.21</v>
      </c>
      <c r="J14" s="229">
        <v>0</v>
      </c>
      <c r="K14" s="229">
        <v>0</v>
      </c>
      <c r="O14" s="15"/>
    </row>
    <row r="15" spans="1:15" ht="12.75">
      <c r="A15" s="3" t="s">
        <v>4</v>
      </c>
      <c r="B15" s="229">
        <f>22738868.21+133749.92</f>
        <v>22872618.130000003</v>
      </c>
      <c r="C15" s="229">
        <v>872725.23</v>
      </c>
      <c r="D15" s="229">
        <v>0</v>
      </c>
      <c r="E15" s="229">
        <v>12580831.01</v>
      </c>
      <c r="F15" s="229">
        <v>91758.78</v>
      </c>
      <c r="G15" s="229">
        <v>941442.95</v>
      </c>
      <c r="H15" s="229">
        <v>131608.66</v>
      </c>
      <c r="I15" s="229">
        <v>20000</v>
      </c>
      <c r="J15" s="229">
        <v>0</v>
      </c>
      <c r="K15" s="229">
        <v>256447.78</v>
      </c>
      <c r="O15" s="15"/>
    </row>
    <row r="16" spans="1:15" ht="12.75">
      <c r="A16" s="3" t="s">
        <v>5</v>
      </c>
      <c r="B16" s="229">
        <v>3122145.8200000003</v>
      </c>
      <c r="C16" s="229">
        <v>81056.88</v>
      </c>
      <c r="D16" s="229">
        <v>110354.39000000001</v>
      </c>
      <c r="E16" s="229">
        <v>1555730.4900000002</v>
      </c>
      <c r="F16" s="236">
        <v>0</v>
      </c>
      <c r="G16" s="236">
        <v>59932.78</v>
      </c>
      <c r="H16" s="229">
        <v>0</v>
      </c>
      <c r="I16" s="229">
        <v>0</v>
      </c>
      <c r="J16" s="229">
        <v>0</v>
      </c>
      <c r="K16" s="229">
        <v>0</v>
      </c>
      <c r="O16" s="15"/>
    </row>
    <row r="17" spans="1:15" ht="12.75">
      <c r="A17" s="3"/>
      <c r="B17" s="229"/>
      <c r="C17" s="229"/>
      <c r="D17" s="229"/>
      <c r="E17" s="229"/>
      <c r="F17" s="229"/>
      <c r="G17" s="229"/>
      <c r="H17" s="271"/>
      <c r="I17" s="229"/>
      <c r="J17" s="229"/>
      <c r="K17" s="229"/>
      <c r="O17" s="15"/>
    </row>
    <row r="18" spans="1:15" ht="12.75">
      <c r="A18" s="3" t="s">
        <v>6</v>
      </c>
      <c r="B18" s="229">
        <v>1496395.02</v>
      </c>
      <c r="C18" s="229">
        <v>58332.99</v>
      </c>
      <c r="D18" s="229">
        <v>17187.14</v>
      </c>
      <c r="E18" s="229">
        <v>773875.71</v>
      </c>
      <c r="F18" s="229">
        <v>22110.08</v>
      </c>
      <c r="G18" s="229">
        <v>7401.56</v>
      </c>
      <c r="H18" s="229">
        <v>0</v>
      </c>
      <c r="I18" s="229">
        <v>11705</v>
      </c>
      <c r="J18" s="229">
        <v>835701.3400000001</v>
      </c>
      <c r="K18" s="229">
        <v>0</v>
      </c>
      <c r="O18" s="15"/>
    </row>
    <row r="19" spans="1:15" ht="12.75">
      <c r="A19" s="3" t="s">
        <v>7</v>
      </c>
      <c r="B19" s="236">
        <v>6420760.48</v>
      </c>
      <c r="C19" s="229">
        <v>212148.23</v>
      </c>
      <c r="D19" s="229">
        <v>170365</v>
      </c>
      <c r="E19" s="229">
        <v>1973083.0999999999</v>
      </c>
      <c r="F19" s="229">
        <v>0</v>
      </c>
      <c r="G19" s="229">
        <v>119678.73</v>
      </c>
      <c r="H19" s="229">
        <v>0</v>
      </c>
      <c r="I19" s="229">
        <v>87643.51999999999</v>
      </c>
      <c r="J19" s="229">
        <v>0</v>
      </c>
      <c r="K19" s="229">
        <v>0</v>
      </c>
      <c r="O19" s="15"/>
    </row>
    <row r="20" spans="1:15" ht="12.75">
      <c r="A20" s="3" t="s">
        <v>8</v>
      </c>
      <c r="B20" s="229">
        <v>3820960.98</v>
      </c>
      <c r="C20" s="229">
        <v>112499.23</v>
      </c>
      <c r="D20" s="229">
        <v>86863.64</v>
      </c>
      <c r="E20" s="229">
        <v>1630704.8</v>
      </c>
      <c r="F20" s="229">
        <v>76142.28</v>
      </c>
      <c r="G20" s="229">
        <v>74151.33</v>
      </c>
      <c r="H20" s="229">
        <v>0</v>
      </c>
      <c r="I20" s="229">
        <v>10670.82</v>
      </c>
      <c r="J20" s="229">
        <v>0</v>
      </c>
      <c r="K20" s="229">
        <v>0</v>
      </c>
      <c r="O20" s="15"/>
    </row>
    <row r="21" spans="1:15" ht="12.75">
      <c r="A21" s="3" t="s">
        <v>9</v>
      </c>
      <c r="B21" s="229">
        <v>5548986.050000001</v>
      </c>
      <c r="C21" s="229">
        <v>95674.82999999999</v>
      </c>
      <c r="D21" s="229">
        <v>0</v>
      </c>
      <c r="E21" s="229">
        <v>1934506.5899999999</v>
      </c>
      <c r="F21" s="229">
        <v>39390.66</v>
      </c>
      <c r="G21" s="229">
        <v>0</v>
      </c>
      <c r="H21" s="229">
        <v>0</v>
      </c>
      <c r="I21" s="229">
        <v>0</v>
      </c>
      <c r="J21" s="229">
        <v>162551.26</v>
      </c>
      <c r="K21" s="229">
        <v>0</v>
      </c>
      <c r="O21" s="15"/>
    </row>
    <row r="22" spans="1:15" ht="12.75">
      <c r="A22" s="3" t="s">
        <v>10</v>
      </c>
      <c r="B22" s="229">
        <v>1049626.54</v>
      </c>
      <c r="C22" s="229">
        <v>34451</v>
      </c>
      <c r="D22" s="229">
        <v>31442.65</v>
      </c>
      <c r="E22" s="229">
        <v>653588.41</v>
      </c>
      <c r="F22" s="229">
        <v>34881.13</v>
      </c>
      <c r="G22" s="229">
        <v>50053.81</v>
      </c>
      <c r="H22" s="229">
        <v>0</v>
      </c>
      <c r="I22" s="229">
        <v>14990.02</v>
      </c>
      <c r="J22" s="229">
        <v>0</v>
      </c>
      <c r="K22" s="229">
        <v>0</v>
      </c>
      <c r="O22" s="15"/>
    </row>
    <row r="23" spans="1:15" ht="12.75">
      <c r="A23" s="3"/>
      <c r="B23" s="229"/>
      <c r="C23" s="229"/>
      <c r="D23" s="229"/>
      <c r="E23" s="229"/>
      <c r="F23" s="229"/>
      <c r="G23" s="229"/>
      <c r="H23" s="271"/>
      <c r="I23" s="229"/>
      <c r="J23" s="229"/>
      <c r="K23" s="229"/>
      <c r="O23" s="15"/>
    </row>
    <row r="24" spans="1:15" ht="12.75">
      <c r="A24" s="3" t="s">
        <v>11</v>
      </c>
      <c r="B24" s="229">
        <v>7938592.04</v>
      </c>
      <c r="C24" s="229">
        <v>126679.68</v>
      </c>
      <c r="D24" s="229">
        <v>0</v>
      </c>
      <c r="E24" s="229">
        <v>3517218.6100000003</v>
      </c>
      <c r="F24" s="229">
        <v>99560.09</v>
      </c>
      <c r="G24" s="229">
        <v>0</v>
      </c>
      <c r="H24" s="229">
        <v>0</v>
      </c>
      <c r="I24" s="229">
        <v>0</v>
      </c>
      <c r="J24" s="229">
        <v>329608.42</v>
      </c>
      <c r="K24" s="229">
        <v>0</v>
      </c>
      <c r="O24" s="15"/>
    </row>
    <row r="25" spans="1:15" ht="12.75">
      <c r="A25" s="3" t="s">
        <v>12</v>
      </c>
      <c r="B25" s="229">
        <v>1028793.5700000001</v>
      </c>
      <c r="C25" s="229">
        <v>54408.83</v>
      </c>
      <c r="D25" s="229">
        <v>0</v>
      </c>
      <c r="E25" s="229">
        <v>615337.53</v>
      </c>
      <c r="F25" s="229">
        <v>26848.76</v>
      </c>
      <c r="G25" s="229">
        <v>0</v>
      </c>
      <c r="H25" s="229">
        <v>0</v>
      </c>
      <c r="I25" s="229">
        <v>0</v>
      </c>
      <c r="J25" s="229">
        <v>0</v>
      </c>
      <c r="K25" s="355">
        <v>297789.69</v>
      </c>
      <c r="O25" s="15"/>
    </row>
    <row r="26" spans="1:15" ht="12.75">
      <c r="A26" s="3" t="s">
        <v>13</v>
      </c>
      <c r="B26" s="229">
        <v>8769914.29</v>
      </c>
      <c r="C26" s="229">
        <v>204538.32</v>
      </c>
      <c r="D26" s="229">
        <v>0</v>
      </c>
      <c r="E26" s="229">
        <v>3959740.01</v>
      </c>
      <c r="F26" s="229">
        <v>99003.53</v>
      </c>
      <c r="G26" s="229">
        <v>0</v>
      </c>
      <c r="H26" s="229">
        <v>0</v>
      </c>
      <c r="I26" s="229">
        <v>25410.55</v>
      </c>
      <c r="J26" s="229">
        <v>530042.28</v>
      </c>
      <c r="K26" s="229">
        <v>0</v>
      </c>
      <c r="O26" s="15"/>
    </row>
    <row r="27" spans="1:15" ht="12.75">
      <c r="A27" s="3" t="s">
        <v>14</v>
      </c>
      <c r="B27" s="229">
        <v>8960065.87</v>
      </c>
      <c r="C27" s="229">
        <v>308072.87</v>
      </c>
      <c r="D27" s="229">
        <v>259735.63</v>
      </c>
      <c r="E27" s="229">
        <v>4563836.24</v>
      </c>
      <c r="F27" s="229">
        <v>210746.67</v>
      </c>
      <c r="G27" s="229">
        <v>271293.49</v>
      </c>
      <c r="H27" s="229">
        <v>0</v>
      </c>
      <c r="I27" s="229">
        <v>0</v>
      </c>
      <c r="J27" s="229">
        <v>1548675.6300000001</v>
      </c>
      <c r="K27" s="229">
        <v>0</v>
      </c>
      <c r="O27" s="15"/>
    </row>
    <row r="28" spans="1:15" ht="12.75">
      <c r="A28" s="3" t="s">
        <v>15</v>
      </c>
      <c r="B28" s="229">
        <v>647618.41</v>
      </c>
      <c r="C28" s="229">
        <v>31433.510000000002</v>
      </c>
      <c r="D28" s="229">
        <v>9915</v>
      </c>
      <c r="E28" s="229">
        <v>346029.79</v>
      </c>
      <c r="F28" s="229">
        <v>22475.33</v>
      </c>
      <c r="G28" s="229">
        <v>8178.71</v>
      </c>
      <c r="H28" s="229">
        <v>0</v>
      </c>
      <c r="I28" s="229">
        <v>7383.03</v>
      </c>
      <c r="J28" s="229">
        <v>640882.1699999999</v>
      </c>
      <c r="K28" s="229">
        <v>0</v>
      </c>
      <c r="O28" s="15"/>
    </row>
    <row r="29" spans="1:15" ht="12.75">
      <c r="A29" s="3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O29" s="15"/>
    </row>
    <row r="30" spans="1:15" ht="12.75">
      <c r="A30" s="3" t="s">
        <v>16</v>
      </c>
      <c r="B30" s="229">
        <v>29077115.080000002</v>
      </c>
      <c r="C30" s="229">
        <v>824768.49</v>
      </c>
      <c r="D30" s="229">
        <v>0</v>
      </c>
      <c r="E30" s="229">
        <v>14005687.620000001</v>
      </c>
      <c r="F30" s="229">
        <v>296205.89</v>
      </c>
      <c r="G30" s="229">
        <v>0</v>
      </c>
      <c r="H30" s="229">
        <v>0</v>
      </c>
      <c r="I30" s="229">
        <v>27906.32</v>
      </c>
      <c r="J30" s="229">
        <v>324979.94</v>
      </c>
      <c r="K30" s="229">
        <v>0</v>
      </c>
      <c r="O30" s="15"/>
    </row>
    <row r="31" spans="1:15" ht="12.75">
      <c r="A31" s="3" t="s">
        <v>17</v>
      </c>
      <c r="B31" s="229">
        <v>26489559.169999998</v>
      </c>
      <c r="C31" s="229">
        <v>635869.61</v>
      </c>
      <c r="D31" s="229">
        <v>0</v>
      </c>
      <c r="E31" s="229">
        <v>9628149.23</v>
      </c>
      <c r="F31" s="229">
        <v>219355.38</v>
      </c>
      <c r="G31" s="229">
        <v>0</v>
      </c>
      <c r="H31" s="229">
        <v>0</v>
      </c>
      <c r="I31" s="229">
        <v>0</v>
      </c>
      <c r="J31" s="229">
        <v>0</v>
      </c>
      <c r="K31" s="229">
        <v>374669.75999999995</v>
      </c>
      <c r="O31" s="15"/>
    </row>
    <row r="32" spans="1:15" ht="12.75">
      <c r="A32" s="3" t="s">
        <v>18</v>
      </c>
      <c r="B32" s="229">
        <v>1649997.39</v>
      </c>
      <c r="C32" s="229">
        <v>31059.949999999997</v>
      </c>
      <c r="D32" s="229">
        <v>56179.63</v>
      </c>
      <c r="E32" s="229">
        <v>802162.08</v>
      </c>
      <c r="F32" s="229">
        <v>14081</v>
      </c>
      <c r="G32" s="229">
        <v>33335.5</v>
      </c>
      <c r="H32" s="229">
        <v>0</v>
      </c>
      <c r="I32" s="229">
        <v>8425.24</v>
      </c>
      <c r="J32" s="229">
        <v>654385.02</v>
      </c>
      <c r="K32" s="229">
        <v>0</v>
      </c>
      <c r="O32" s="15"/>
    </row>
    <row r="33" spans="1:15" ht="12.75">
      <c r="A33" s="3" t="s">
        <v>19</v>
      </c>
      <c r="B33" s="229">
        <v>3544201.31</v>
      </c>
      <c r="C33" s="229">
        <v>123355.45</v>
      </c>
      <c r="D33" s="229">
        <v>0</v>
      </c>
      <c r="E33" s="229">
        <v>2183412.69</v>
      </c>
      <c r="F33" s="229">
        <v>41462.27</v>
      </c>
      <c r="G33" s="229">
        <v>0</v>
      </c>
      <c r="H33" s="229">
        <v>0</v>
      </c>
      <c r="I33" s="229">
        <v>16709.54</v>
      </c>
      <c r="J33" s="229">
        <v>745386.29</v>
      </c>
      <c r="K33" s="229">
        <v>0</v>
      </c>
      <c r="O33" s="15"/>
    </row>
    <row r="34" spans="1:15" ht="12.75">
      <c r="A34" s="3" t="s">
        <v>20</v>
      </c>
      <c r="B34" s="229">
        <v>796072.01</v>
      </c>
      <c r="C34" s="229">
        <v>28726.190000000002</v>
      </c>
      <c r="D34" s="229">
        <v>10200.84</v>
      </c>
      <c r="E34" s="229">
        <v>371951.67</v>
      </c>
      <c r="F34" s="229">
        <v>7901.16</v>
      </c>
      <c r="G34" s="229">
        <v>7978.48</v>
      </c>
      <c r="H34" s="229">
        <v>0</v>
      </c>
      <c r="I34" s="229">
        <v>0</v>
      </c>
      <c r="J34" s="229">
        <v>361417.36</v>
      </c>
      <c r="K34" s="229">
        <v>266811.51</v>
      </c>
      <c r="O34" s="15"/>
    </row>
    <row r="35" spans="1:15" ht="12.75">
      <c r="A35" s="3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O35" s="15"/>
    </row>
    <row r="36" spans="1:15" ht="12.75">
      <c r="A36" s="3" t="s">
        <v>21</v>
      </c>
      <c r="B36" s="229">
        <v>1091140.69</v>
      </c>
      <c r="C36" s="229">
        <v>25672.41</v>
      </c>
      <c r="D36" s="229">
        <v>38975.97</v>
      </c>
      <c r="E36" s="229">
        <v>756854.75</v>
      </c>
      <c r="F36" s="229">
        <v>27080.83</v>
      </c>
      <c r="G36" s="229">
        <v>36300.7</v>
      </c>
      <c r="H36" s="229">
        <v>0</v>
      </c>
      <c r="I36" s="229">
        <v>19281.65</v>
      </c>
      <c r="J36" s="229">
        <v>0</v>
      </c>
      <c r="K36" s="229">
        <v>0</v>
      </c>
      <c r="O36" s="15"/>
    </row>
    <row r="37" spans="1:15" ht="12.75">
      <c r="A37" s="3" t="s">
        <v>22</v>
      </c>
      <c r="B37" s="229">
        <v>5286960.24</v>
      </c>
      <c r="C37" s="229">
        <v>86554.68</v>
      </c>
      <c r="D37" s="229">
        <v>126556.8</v>
      </c>
      <c r="E37" s="229">
        <v>2264025.44</v>
      </c>
      <c r="F37" s="229">
        <v>37931.96000000001</v>
      </c>
      <c r="G37" s="229">
        <v>53219.54</v>
      </c>
      <c r="H37" s="229">
        <v>0</v>
      </c>
      <c r="I37" s="229">
        <v>13000</v>
      </c>
      <c r="J37" s="229">
        <v>54339.28</v>
      </c>
      <c r="K37" s="229">
        <v>0</v>
      </c>
      <c r="O37" s="15"/>
    </row>
    <row r="38" spans="1:15" ht="12.75">
      <c r="A38" s="3" t="s">
        <v>23</v>
      </c>
      <c r="B38" s="229">
        <v>3105369.01</v>
      </c>
      <c r="C38" s="229">
        <v>63392.73</v>
      </c>
      <c r="D38" s="229">
        <v>95098</v>
      </c>
      <c r="E38" s="229">
        <v>1208545.63</v>
      </c>
      <c r="F38" s="229">
        <v>4201.53</v>
      </c>
      <c r="G38" s="229">
        <v>3591.39</v>
      </c>
      <c r="H38" s="229">
        <v>0</v>
      </c>
      <c r="I38" s="229">
        <v>8289.49</v>
      </c>
      <c r="J38" s="229">
        <v>636717.56</v>
      </c>
      <c r="K38" s="229">
        <v>215832.21</v>
      </c>
      <c r="O38" s="15"/>
    </row>
    <row r="39" spans="1:15" ht="12.75">
      <c r="A39" s="12" t="s">
        <v>24</v>
      </c>
      <c r="B39" s="230">
        <v>1914572.7399999998</v>
      </c>
      <c r="C39" s="358">
        <v>36914.979999999996</v>
      </c>
      <c r="D39" s="230">
        <v>16001.640000000001</v>
      </c>
      <c r="E39" s="230">
        <v>394404.42</v>
      </c>
      <c r="F39" s="230">
        <v>26846.17</v>
      </c>
      <c r="G39" s="230">
        <v>14020.35</v>
      </c>
      <c r="H39" s="230">
        <v>0</v>
      </c>
      <c r="I39" s="230">
        <v>15249.57</v>
      </c>
      <c r="J39" s="230">
        <v>1063539.16</v>
      </c>
      <c r="K39" s="230">
        <v>0</v>
      </c>
      <c r="O39" s="15"/>
    </row>
    <row r="40" spans="1:15" ht="12.75">
      <c r="A40" s="3"/>
      <c r="B40" s="232"/>
      <c r="C40" s="232"/>
      <c r="D40" s="232"/>
      <c r="E40" s="232"/>
      <c r="F40" s="232"/>
      <c r="G40" s="232"/>
      <c r="H40" s="232"/>
      <c r="I40" s="234"/>
      <c r="K40" s="234"/>
      <c r="O40" s="15"/>
    </row>
    <row r="41" spans="1:16" ht="12.75">
      <c r="A41" s="3"/>
      <c r="B41" s="232"/>
      <c r="C41" s="232"/>
      <c r="D41" s="232"/>
      <c r="E41" s="232"/>
      <c r="F41" s="232"/>
      <c r="G41" s="232"/>
      <c r="H41" s="232"/>
      <c r="I41" s="232"/>
      <c r="K41" s="234"/>
      <c r="P41" s="15"/>
    </row>
    <row r="42" spans="1:16" ht="12.75">
      <c r="A42" s="3"/>
      <c r="B42" s="3"/>
      <c r="C42" s="3"/>
      <c r="D42" s="3"/>
      <c r="E42" s="3"/>
      <c r="F42" s="3"/>
      <c r="G42" s="3"/>
      <c r="H42" s="232"/>
      <c r="I42" s="232"/>
      <c r="K42" s="234"/>
      <c r="P42" s="15"/>
    </row>
    <row r="43" spans="1:16" ht="12.75">
      <c r="A43" s="3"/>
      <c r="B43" s="3"/>
      <c r="C43" s="3"/>
      <c r="D43" s="3"/>
      <c r="E43" s="3"/>
      <c r="F43" s="3"/>
      <c r="G43" s="3"/>
      <c r="H43" s="232"/>
      <c r="I43" s="232"/>
      <c r="K43" s="234"/>
      <c r="P43" s="15"/>
    </row>
    <row r="44" spans="1:16" ht="12.75">
      <c r="A44" s="3"/>
      <c r="B44" s="3"/>
      <c r="C44" s="3"/>
      <c r="D44" s="3"/>
      <c r="E44" s="3"/>
      <c r="F44" s="3"/>
      <c r="G44" s="3"/>
      <c r="H44" s="232"/>
      <c r="I44" s="232"/>
      <c r="J44" s="337"/>
      <c r="K44" s="234"/>
      <c r="P44" s="15"/>
    </row>
    <row r="45" spans="1:16" ht="12.75">
      <c r="A45" s="3"/>
      <c r="B45" s="3"/>
      <c r="C45" s="3"/>
      <c r="D45" s="3"/>
      <c r="E45" s="3"/>
      <c r="F45" s="3"/>
      <c r="G45" s="3"/>
      <c r="H45" s="232"/>
      <c r="I45" s="232"/>
      <c r="K45" s="234"/>
      <c r="P45" s="15"/>
    </row>
    <row r="46" spans="1:16" ht="12.75">
      <c r="A46" s="3"/>
      <c r="B46" s="3"/>
      <c r="C46" s="3"/>
      <c r="D46" s="3"/>
      <c r="E46" s="3"/>
      <c r="F46" s="3"/>
      <c r="G46" s="3"/>
      <c r="H46" s="232"/>
      <c r="I46" s="232"/>
      <c r="K46" s="234"/>
      <c r="P46" s="15"/>
    </row>
    <row r="47" spans="1:16" ht="12.75">
      <c r="A47" s="3"/>
      <c r="B47" s="3"/>
      <c r="C47" s="3"/>
      <c r="D47" s="3"/>
      <c r="E47" s="3"/>
      <c r="F47" s="3"/>
      <c r="G47" s="3"/>
      <c r="H47" s="232"/>
      <c r="I47" s="232"/>
      <c r="K47" s="234"/>
      <c r="P47" s="15"/>
    </row>
    <row r="48" spans="1:16" ht="12.75">
      <c r="A48" s="3"/>
      <c r="B48" s="3"/>
      <c r="C48" s="3"/>
      <c r="D48" s="3"/>
      <c r="E48" s="3"/>
      <c r="F48" s="3"/>
      <c r="G48" s="3"/>
      <c r="H48" s="232"/>
      <c r="I48" s="232"/>
      <c r="K48" s="234"/>
      <c r="P48" s="15"/>
    </row>
    <row r="49" spans="1:16" ht="12.75">
      <c r="A49" s="3"/>
      <c r="B49" s="3"/>
      <c r="C49" s="3"/>
      <c r="D49" s="3"/>
      <c r="E49" s="3"/>
      <c r="F49" s="3"/>
      <c r="G49" s="3"/>
      <c r="H49" s="232"/>
      <c r="I49" s="232"/>
      <c r="K49" s="234"/>
      <c r="P49" s="15"/>
    </row>
    <row r="50" spans="1:16" ht="12.75">
      <c r="A50" s="3"/>
      <c r="B50" s="3"/>
      <c r="C50" s="3"/>
      <c r="D50" s="3"/>
      <c r="E50" s="3"/>
      <c r="F50" s="3"/>
      <c r="G50" s="3"/>
      <c r="H50" s="232"/>
      <c r="I50" s="232"/>
      <c r="J50" s="232"/>
      <c r="K50" s="234"/>
      <c r="P50" s="15"/>
    </row>
    <row r="51" spans="1:16" ht="12.75">
      <c r="A51" s="3"/>
      <c r="B51" s="3"/>
      <c r="C51" s="3"/>
      <c r="D51" s="3"/>
      <c r="E51" s="3"/>
      <c r="F51" s="3"/>
      <c r="G51" s="3"/>
      <c r="H51" s="232"/>
      <c r="I51" s="232"/>
      <c r="J51" s="232"/>
      <c r="K51" s="234"/>
      <c r="P51" s="15"/>
    </row>
    <row r="52" spans="1:10" ht="12.75">
      <c r="A52" s="3"/>
      <c r="B52" s="3"/>
      <c r="C52" s="3"/>
      <c r="D52" s="3"/>
      <c r="E52" s="3"/>
      <c r="F52" s="3"/>
      <c r="G52" s="3"/>
      <c r="H52" s="232"/>
      <c r="I52" s="232"/>
      <c r="J52" s="232"/>
    </row>
    <row r="53" spans="1:10" ht="12.75">
      <c r="A53" s="3"/>
      <c r="B53" s="3"/>
      <c r="C53" s="3"/>
      <c r="D53" s="3"/>
      <c r="E53" s="3"/>
      <c r="F53" s="3"/>
      <c r="G53" s="3"/>
      <c r="H53" s="232"/>
      <c r="I53" s="232"/>
      <c r="J53" s="232"/>
    </row>
    <row r="54" spans="1:10" ht="12.75">
      <c r="A54" s="3"/>
      <c r="B54" s="3"/>
      <c r="C54" s="3"/>
      <c r="D54" s="3"/>
      <c r="E54" s="3"/>
      <c r="F54" s="3"/>
      <c r="G54" s="3"/>
      <c r="H54" s="232"/>
      <c r="I54" s="232"/>
      <c r="J54" s="232"/>
    </row>
    <row r="55" spans="1:10" ht="12.75">
      <c r="A55" s="3"/>
      <c r="B55" s="3"/>
      <c r="C55" s="3"/>
      <c r="D55" s="3"/>
      <c r="E55" s="3"/>
      <c r="F55" s="3"/>
      <c r="G55" s="3"/>
      <c r="H55" s="232"/>
      <c r="I55" s="232"/>
      <c r="J55" s="232"/>
    </row>
    <row r="56" spans="1:10" ht="12.75">
      <c r="A56" s="3"/>
      <c r="B56" s="3"/>
      <c r="C56" s="3"/>
      <c r="D56" s="3"/>
      <c r="E56" s="3"/>
      <c r="F56" s="3"/>
      <c r="G56" s="3"/>
      <c r="H56" s="232"/>
      <c r="I56" s="232"/>
      <c r="J56" s="232"/>
    </row>
    <row r="57" spans="1:10" ht="12.75">
      <c r="A57" s="3"/>
      <c r="B57" s="3"/>
      <c r="C57" s="3"/>
      <c r="D57" s="3"/>
      <c r="E57" s="3"/>
      <c r="F57" s="3"/>
      <c r="G57" s="3"/>
      <c r="H57" s="232"/>
      <c r="I57" s="232"/>
      <c r="J57" s="232"/>
    </row>
    <row r="58" spans="1:10" ht="12.75">
      <c r="A58" s="3"/>
      <c r="B58" s="3"/>
      <c r="C58" s="3"/>
      <c r="D58" s="3"/>
      <c r="E58" s="3"/>
      <c r="F58" s="3"/>
      <c r="G58" s="3"/>
      <c r="H58" s="232"/>
      <c r="I58" s="232"/>
      <c r="J58" s="232"/>
    </row>
    <row r="59" spans="1:10" ht="12.75">
      <c r="A59" s="3"/>
      <c r="B59" s="3"/>
      <c r="C59" s="3"/>
      <c r="D59" s="3"/>
      <c r="E59" s="3"/>
      <c r="F59" s="3"/>
      <c r="G59" s="3"/>
      <c r="H59" s="232"/>
      <c r="I59" s="232"/>
      <c r="J59" s="232"/>
    </row>
    <row r="60" spans="1:10" ht="12.75">
      <c r="A60" s="3"/>
      <c r="B60" s="3"/>
      <c r="C60" s="3"/>
      <c r="D60" s="3"/>
      <c r="E60" s="3"/>
      <c r="F60" s="3"/>
      <c r="G60" s="3"/>
      <c r="H60" s="232"/>
      <c r="I60" s="232"/>
      <c r="J60" s="232"/>
    </row>
    <row r="61" spans="1:10" ht="12.75">
      <c r="A61" s="3"/>
      <c r="B61" s="3"/>
      <c r="C61" s="3"/>
      <c r="D61" s="3"/>
      <c r="E61" s="3"/>
      <c r="F61" s="3"/>
      <c r="G61" s="3"/>
      <c r="H61" s="232"/>
      <c r="I61" s="232"/>
      <c r="J61" s="232"/>
    </row>
    <row r="62" spans="1:10" ht="12.75">
      <c r="A62" s="3"/>
      <c r="B62" s="3"/>
      <c r="C62" s="3"/>
      <c r="D62" s="3"/>
      <c r="E62" s="3"/>
      <c r="F62" s="3"/>
      <c r="G62" s="3"/>
      <c r="H62" s="232"/>
      <c r="I62" s="232"/>
      <c r="J62" s="232"/>
    </row>
    <row r="63" spans="1:10" ht="12.75">
      <c r="A63" s="3"/>
      <c r="B63" s="3"/>
      <c r="C63" s="3"/>
      <c r="D63" s="3"/>
      <c r="E63" s="3"/>
      <c r="F63" s="3"/>
      <c r="G63" s="3"/>
      <c r="H63" s="232"/>
      <c r="I63" s="232"/>
      <c r="J63" s="232"/>
    </row>
    <row r="64" spans="1:10" ht="12.75">
      <c r="A64" s="3"/>
      <c r="B64" s="3"/>
      <c r="C64" s="3"/>
      <c r="D64" s="3"/>
      <c r="E64" s="3"/>
      <c r="F64" s="3"/>
      <c r="G64" s="3"/>
      <c r="H64" s="232"/>
      <c r="I64" s="232"/>
      <c r="J64" s="232"/>
    </row>
    <row r="65" spans="1:10" ht="12.75">
      <c r="A65" s="3"/>
      <c r="B65" s="3"/>
      <c r="C65" s="3"/>
      <c r="D65" s="3"/>
      <c r="E65" s="3"/>
      <c r="F65" s="3"/>
      <c r="G65" s="3"/>
      <c r="H65" s="232"/>
      <c r="I65" s="232"/>
      <c r="J65" s="232"/>
    </row>
    <row r="66" spans="1:9" ht="12.75">
      <c r="A66" s="3"/>
      <c r="B66" s="3"/>
      <c r="C66" s="3"/>
      <c r="D66" s="3"/>
      <c r="E66" s="3"/>
      <c r="F66" s="3"/>
      <c r="G66" s="3"/>
      <c r="H66" s="232"/>
      <c r="I66" s="232"/>
    </row>
    <row r="67" spans="1:9" ht="12.75">
      <c r="A67" s="3"/>
      <c r="B67" s="3"/>
      <c r="C67" s="3"/>
      <c r="D67" s="3"/>
      <c r="E67" s="3"/>
      <c r="F67" s="3"/>
      <c r="G67" s="3"/>
      <c r="H67" s="232"/>
      <c r="I67" s="232"/>
    </row>
    <row r="68" spans="1:9" ht="12.75">
      <c r="A68" s="3"/>
      <c r="B68" s="3"/>
      <c r="C68" s="3"/>
      <c r="D68" s="3"/>
      <c r="E68" s="3"/>
      <c r="F68" s="3"/>
      <c r="G68" s="3"/>
      <c r="H68" s="232"/>
      <c r="I68" s="232"/>
    </row>
    <row r="69" spans="1:10" ht="12.75">
      <c r="A69" s="3"/>
      <c r="B69" s="3"/>
      <c r="C69" s="3"/>
      <c r="D69" s="3"/>
      <c r="E69" s="3"/>
      <c r="F69" s="3"/>
      <c r="G69" s="3"/>
      <c r="H69" s="232"/>
      <c r="I69" s="232"/>
      <c r="J69" s="232"/>
    </row>
    <row r="70" spans="1:10" ht="12.75">
      <c r="A70" s="3"/>
      <c r="B70" s="3"/>
      <c r="C70" s="3"/>
      <c r="D70" s="3"/>
      <c r="E70" s="3"/>
      <c r="F70" s="3"/>
      <c r="G70" s="3"/>
      <c r="H70" s="232"/>
      <c r="I70" s="232"/>
      <c r="J70" s="232"/>
    </row>
    <row r="71" spans="1:10" ht="12.75">
      <c r="A71" s="3"/>
      <c r="B71" s="3"/>
      <c r="C71" s="3"/>
      <c r="D71" s="3"/>
      <c r="E71" s="3"/>
      <c r="F71" s="3"/>
      <c r="G71" s="3"/>
      <c r="H71" s="232"/>
      <c r="I71" s="232"/>
      <c r="J71" s="232"/>
    </row>
    <row r="72" spans="1:10" ht="12.75">
      <c r="A72" s="3"/>
      <c r="B72" s="3"/>
      <c r="C72" s="3"/>
      <c r="D72" s="3"/>
      <c r="E72" s="3"/>
      <c r="F72" s="3"/>
      <c r="G72" s="3"/>
      <c r="H72" s="232"/>
      <c r="I72" s="232"/>
      <c r="J72" s="232"/>
    </row>
    <row r="73" spans="1:10" ht="12.75">
      <c r="A73" s="3"/>
      <c r="B73" s="3"/>
      <c r="C73" s="3"/>
      <c r="D73" s="3"/>
      <c r="E73" s="3"/>
      <c r="F73" s="3"/>
      <c r="G73" s="3"/>
      <c r="H73" s="232"/>
      <c r="I73" s="232"/>
      <c r="J73" s="232"/>
    </row>
    <row r="74" spans="1:10" ht="12.75">
      <c r="A74" s="3"/>
      <c r="B74" s="3"/>
      <c r="C74" s="3"/>
      <c r="D74" s="3"/>
      <c r="E74" s="3"/>
      <c r="F74" s="3"/>
      <c r="G74" s="3"/>
      <c r="H74" s="232"/>
      <c r="I74" s="232"/>
      <c r="J74" s="232"/>
    </row>
    <row r="75" spans="1:10" ht="12.75">
      <c r="A75" s="3"/>
      <c r="B75" s="3"/>
      <c r="C75" s="3"/>
      <c r="D75" s="3"/>
      <c r="E75" s="3"/>
      <c r="F75" s="3"/>
      <c r="G75" s="3"/>
      <c r="H75" s="232"/>
      <c r="I75" s="232"/>
      <c r="J75" s="232"/>
    </row>
    <row r="76" spans="1:10" ht="12.75">
      <c r="A76" s="3"/>
      <c r="B76" s="3"/>
      <c r="C76" s="3"/>
      <c r="D76" s="3"/>
      <c r="E76" s="3"/>
      <c r="F76" s="3"/>
      <c r="G76" s="3"/>
      <c r="H76" s="232"/>
      <c r="I76" s="232"/>
      <c r="J76" s="232"/>
    </row>
    <row r="77" spans="1:10" ht="12.75">
      <c r="A77" s="3"/>
      <c r="B77" s="3"/>
      <c r="C77" s="3"/>
      <c r="D77" s="3"/>
      <c r="E77" s="3"/>
      <c r="F77" s="3"/>
      <c r="G77" s="3"/>
      <c r="H77" s="232"/>
      <c r="I77" s="232"/>
      <c r="J77" s="232"/>
    </row>
    <row r="78" spans="1:10" ht="12.75">
      <c r="A78" s="3"/>
      <c r="B78" s="3"/>
      <c r="C78" s="3"/>
      <c r="D78" s="3"/>
      <c r="E78" s="3"/>
      <c r="F78" s="3"/>
      <c r="G78" s="3"/>
      <c r="H78" s="232"/>
      <c r="I78" s="232"/>
      <c r="J78" s="232"/>
    </row>
    <row r="79" spans="1:10" ht="12.75">
      <c r="A79" s="3"/>
      <c r="B79" s="3"/>
      <c r="C79" s="3"/>
      <c r="D79" s="3"/>
      <c r="E79" s="3"/>
      <c r="F79" s="3"/>
      <c r="G79" s="3"/>
      <c r="H79" s="232"/>
      <c r="I79" s="232"/>
      <c r="J79" s="232"/>
    </row>
  </sheetData>
  <sheetProtection password="CAF5" sheet="1"/>
  <mergeCells count="7">
    <mergeCell ref="A1:K1"/>
    <mergeCell ref="A3:K3"/>
    <mergeCell ref="J6:J9"/>
    <mergeCell ref="B5:G5"/>
    <mergeCell ref="F7:F9"/>
    <mergeCell ref="G7:G9"/>
    <mergeCell ref="E7:E9"/>
  </mergeCells>
  <printOptions horizontalCentered="1"/>
  <pageMargins left="0.56" right="0.49" top="0.83" bottom="1.07" header="0.67" footer="0.5"/>
  <pageSetup fitToHeight="1" fitToWidth="1" horizontalDpi="600" verticalDpi="600" orientation="landscape" scale="74" r:id="rId1"/>
  <headerFooter scaleWithDoc="0" alignWithMargins="0">
    <oddHeader>&amp;R
</oddHeader>
    <oddFooter>&amp;L&amp;"Arial,Italic"MSDE - LFRO  10  / 2011&amp;9
&amp;C- 15 -&amp;R&amp;"Arial,Italic"Selected Financial Data-Part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3" width="17.28125" style="0" customWidth="1"/>
    <col min="4" max="4" width="12.8515625" style="264" customWidth="1"/>
    <col min="5" max="5" width="14.8515625" style="264" customWidth="1"/>
    <col min="6" max="6" width="12.28125" style="264" customWidth="1"/>
    <col min="7" max="7" width="12.8515625" style="264" customWidth="1"/>
    <col min="8" max="9" width="16.421875" style="264" customWidth="1"/>
    <col min="10" max="10" width="13.7109375" style="264" customWidth="1"/>
    <col min="11" max="11" width="14.57421875" style="264" customWidth="1"/>
  </cols>
  <sheetData>
    <row r="1" spans="1:11" ht="12.75">
      <c r="A1" s="458" t="s">
        <v>124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3" ht="12.75">
      <c r="A2" s="3"/>
      <c r="B2" s="3"/>
      <c r="C2" s="3"/>
    </row>
    <row r="3" spans="1:11" ht="12.75">
      <c r="A3" s="464" t="s">
        <v>254</v>
      </c>
      <c r="B3" s="464"/>
      <c r="C3" s="464"/>
      <c r="D3" s="458"/>
      <c r="E3" s="458"/>
      <c r="F3" s="458"/>
      <c r="G3" s="458"/>
      <c r="H3" s="458"/>
      <c r="I3" s="458"/>
      <c r="J3" s="458"/>
      <c r="K3" s="458"/>
    </row>
    <row r="4" spans="1:11" ht="13.5" thickBot="1">
      <c r="A4" s="11"/>
      <c r="B4" s="11"/>
      <c r="C4" s="11"/>
      <c r="D4" s="259"/>
      <c r="E4" s="259"/>
      <c r="F4" s="259"/>
      <c r="G4" s="259"/>
      <c r="H4" s="259"/>
      <c r="I4" s="259"/>
      <c r="J4" s="259"/>
      <c r="K4" s="259"/>
    </row>
    <row r="5" spans="1:11" ht="13.5" thickTop="1">
      <c r="A5" s="3"/>
      <c r="B5" s="483" t="s">
        <v>157</v>
      </c>
      <c r="C5" s="471" t="s">
        <v>196</v>
      </c>
      <c r="D5" s="232"/>
      <c r="E5" s="232"/>
      <c r="F5" s="232"/>
      <c r="G5" s="233"/>
      <c r="H5" s="255" t="s">
        <v>241</v>
      </c>
      <c r="I5" s="255" t="s">
        <v>241</v>
      </c>
      <c r="J5" s="255" t="s">
        <v>241</v>
      </c>
      <c r="K5" s="232"/>
    </row>
    <row r="6" spans="1:11" ht="15" customHeight="1">
      <c r="A6" s="3"/>
      <c r="B6" s="484"/>
      <c r="C6" s="429"/>
      <c r="D6" s="467" t="s">
        <v>199</v>
      </c>
      <c r="E6" s="467" t="s">
        <v>197</v>
      </c>
      <c r="F6" s="467" t="s">
        <v>198</v>
      </c>
      <c r="G6" s="232"/>
      <c r="H6" s="471" t="s">
        <v>259</v>
      </c>
      <c r="I6" s="471" t="s">
        <v>260</v>
      </c>
      <c r="J6" s="471" t="s">
        <v>261</v>
      </c>
      <c r="K6" s="255" t="s">
        <v>36</v>
      </c>
    </row>
    <row r="7" spans="1:11" ht="12.75">
      <c r="A7" s="3" t="s">
        <v>80</v>
      </c>
      <c r="B7" s="484"/>
      <c r="C7" s="446"/>
      <c r="D7" s="426"/>
      <c r="E7" s="426"/>
      <c r="F7" s="426"/>
      <c r="G7" s="471" t="s">
        <v>194</v>
      </c>
      <c r="H7" s="446"/>
      <c r="I7" s="446"/>
      <c r="J7" s="446"/>
      <c r="K7" s="255" t="s">
        <v>52</v>
      </c>
    </row>
    <row r="8" spans="1:11" ht="12.75">
      <c r="A8" s="3" t="s">
        <v>33</v>
      </c>
      <c r="B8" s="484"/>
      <c r="C8" s="446"/>
      <c r="D8" s="426"/>
      <c r="E8" s="426"/>
      <c r="F8" s="426"/>
      <c r="G8" s="475"/>
      <c r="H8" s="446"/>
      <c r="I8" s="446"/>
      <c r="J8" s="446"/>
      <c r="K8" s="255" t="s">
        <v>51</v>
      </c>
    </row>
    <row r="9" spans="1:11" ht="13.5" thickBot="1">
      <c r="A9" s="7" t="s">
        <v>137</v>
      </c>
      <c r="B9" s="485"/>
      <c r="C9" s="430"/>
      <c r="D9" s="427"/>
      <c r="E9" s="427"/>
      <c r="F9" s="427"/>
      <c r="G9" s="474"/>
      <c r="H9" s="430"/>
      <c r="I9" s="430"/>
      <c r="J9" s="430"/>
      <c r="K9" s="267" t="s">
        <v>63</v>
      </c>
    </row>
    <row r="10" spans="1:11" s="351" customFormat="1" ht="12.75">
      <c r="A10" s="344" t="s">
        <v>0</v>
      </c>
      <c r="B10" s="268">
        <f>SUM(B12:B39)</f>
        <v>388819.31</v>
      </c>
      <c r="C10" s="268">
        <f>SUM(C12:C39)</f>
        <v>189061.27</v>
      </c>
      <c r="D10" s="268">
        <f aca="true" t="shared" si="0" ref="D10:K10">SUM(D12:D39)</f>
        <v>3321757.3099999996</v>
      </c>
      <c r="E10" s="350">
        <f t="shared" si="0"/>
        <v>27730046.759999998</v>
      </c>
      <c r="F10" s="268">
        <f t="shared" si="0"/>
        <v>650216.0499999999</v>
      </c>
      <c r="G10" s="268">
        <f>SUM(G12:G39)</f>
        <v>7833791.039999999</v>
      </c>
      <c r="H10" s="268">
        <f t="shared" si="0"/>
        <v>153561531.79</v>
      </c>
      <c r="I10" s="268">
        <f t="shared" si="0"/>
        <v>65313.88</v>
      </c>
      <c r="J10" s="268">
        <f t="shared" si="0"/>
        <v>1842329.85</v>
      </c>
      <c r="K10" s="268">
        <f t="shared" si="0"/>
        <v>53357242.03000004</v>
      </c>
    </row>
    <row r="11" spans="1:11" ht="12.75">
      <c r="A11" s="3"/>
      <c r="B11" s="3"/>
      <c r="C11" s="3"/>
      <c r="D11" s="262"/>
      <c r="E11" s="262"/>
      <c r="F11" s="262"/>
      <c r="G11" s="269"/>
      <c r="H11" s="262"/>
      <c r="I11" s="262"/>
      <c r="J11" s="262"/>
      <c r="K11" s="262"/>
    </row>
    <row r="12" spans="1:11" ht="12.75">
      <c r="A12" s="232" t="s">
        <v>1</v>
      </c>
      <c r="B12" s="229">
        <v>0</v>
      </c>
      <c r="C12" s="229">
        <v>18595.17</v>
      </c>
      <c r="D12" s="229">
        <v>43838.490000000005</v>
      </c>
      <c r="E12" s="229">
        <v>0</v>
      </c>
      <c r="F12" s="229">
        <v>0</v>
      </c>
      <c r="G12" s="229">
        <v>351682.91</v>
      </c>
      <c r="H12" s="229">
        <v>1114828</v>
      </c>
      <c r="I12" s="229">
        <v>0</v>
      </c>
      <c r="J12" s="229">
        <v>0</v>
      </c>
      <c r="K12" s="229">
        <v>1016173.5299999993</v>
      </c>
    </row>
    <row r="13" spans="1:11" ht="12.75">
      <c r="A13" s="232" t="s">
        <v>2</v>
      </c>
      <c r="B13" s="229">
        <v>0</v>
      </c>
      <c r="C13" s="229">
        <v>18067.2</v>
      </c>
      <c r="D13" s="229">
        <v>252790.59</v>
      </c>
      <c r="E13" s="229">
        <v>0</v>
      </c>
      <c r="F13" s="229">
        <v>67075.08</v>
      </c>
      <c r="G13" s="229">
        <v>1925574</v>
      </c>
      <c r="H13" s="229">
        <v>7924441.98</v>
      </c>
      <c r="I13" s="229">
        <v>34189.95</v>
      </c>
      <c r="J13" s="229">
        <v>0</v>
      </c>
      <c r="K13" s="229">
        <v>4058679.450000003</v>
      </c>
    </row>
    <row r="14" spans="1:11" ht="12.75">
      <c r="A14" s="232" t="s">
        <v>3</v>
      </c>
      <c r="B14" s="229">
        <v>382351.31</v>
      </c>
      <c r="C14" s="229">
        <v>0</v>
      </c>
      <c r="D14" s="248">
        <v>396515.4</v>
      </c>
      <c r="E14" s="229">
        <v>18664955.95</v>
      </c>
      <c r="F14" s="229">
        <v>78101.07</v>
      </c>
      <c r="G14" s="229">
        <v>1481659.64</v>
      </c>
      <c r="H14" s="229">
        <v>30452525.68</v>
      </c>
      <c r="I14" s="229">
        <v>0</v>
      </c>
      <c r="J14" s="229">
        <v>0</v>
      </c>
      <c r="K14" s="229">
        <v>6506241.350000054</v>
      </c>
    </row>
    <row r="15" spans="1:11" ht="12.75">
      <c r="A15" s="232" t="s">
        <v>4</v>
      </c>
      <c r="B15" s="229">
        <v>5060</v>
      </c>
      <c r="C15" s="229">
        <v>30762.129999999997</v>
      </c>
      <c r="D15" s="229">
        <v>495072.20999999996</v>
      </c>
      <c r="E15" s="229">
        <v>2218114.4200000004</v>
      </c>
      <c r="F15" s="229">
        <v>79503.61</v>
      </c>
      <c r="G15" s="236">
        <v>0</v>
      </c>
      <c r="H15" s="229">
        <v>8438126</v>
      </c>
      <c r="I15" s="229">
        <v>0</v>
      </c>
      <c r="J15" s="229">
        <v>399935.94</v>
      </c>
      <c r="K15" s="229">
        <v>1969573.3799999803</v>
      </c>
    </row>
    <row r="16" spans="1:11" ht="12.75">
      <c r="A16" s="232" t="s">
        <v>5</v>
      </c>
      <c r="B16" s="229">
        <v>0</v>
      </c>
      <c r="C16" s="229">
        <v>0</v>
      </c>
      <c r="D16" s="248">
        <v>40499.81</v>
      </c>
      <c r="E16" s="236">
        <v>422388.07999999996</v>
      </c>
      <c r="F16" s="229">
        <v>21498.71</v>
      </c>
      <c r="G16" s="229">
        <v>276682.72</v>
      </c>
      <c r="H16" s="229">
        <v>1800946.41</v>
      </c>
      <c r="I16" s="229">
        <v>6168</v>
      </c>
      <c r="J16" s="229">
        <v>0</v>
      </c>
      <c r="K16" s="229">
        <v>279943.8999999985</v>
      </c>
    </row>
    <row r="17" spans="1:11" ht="12.75">
      <c r="A17" s="234"/>
      <c r="B17" s="229"/>
      <c r="C17" s="229"/>
      <c r="D17" s="229"/>
      <c r="E17" s="229"/>
      <c r="F17" s="229"/>
      <c r="G17" s="229"/>
      <c r="H17" s="229"/>
      <c r="I17" s="229"/>
      <c r="J17" s="229"/>
      <c r="K17" s="338"/>
    </row>
    <row r="18" spans="1:11" ht="12.75">
      <c r="A18" s="232" t="s">
        <v>6</v>
      </c>
      <c r="B18" s="229">
        <v>0</v>
      </c>
      <c r="C18" s="229">
        <v>0</v>
      </c>
      <c r="D18" s="229">
        <v>14791.560000000001</v>
      </c>
      <c r="E18" s="229">
        <v>252484.81</v>
      </c>
      <c r="F18" s="229">
        <v>0</v>
      </c>
      <c r="G18" s="229">
        <v>0</v>
      </c>
      <c r="H18" s="229">
        <v>1116658</v>
      </c>
      <c r="I18" s="229">
        <v>0</v>
      </c>
      <c r="J18" s="229">
        <v>0</v>
      </c>
      <c r="K18" s="229">
        <v>179415.56000000052</v>
      </c>
    </row>
    <row r="19" spans="1:11" ht="12.75">
      <c r="A19" s="232" t="s">
        <v>7</v>
      </c>
      <c r="B19" s="229">
        <v>0</v>
      </c>
      <c r="C19" s="229">
        <v>5537.38</v>
      </c>
      <c r="D19" s="229">
        <v>24350.37</v>
      </c>
      <c r="E19" s="229">
        <v>0</v>
      </c>
      <c r="F19" s="229">
        <v>0</v>
      </c>
      <c r="G19" s="229">
        <v>0</v>
      </c>
      <c r="H19" s="229">
        <v>2993419</v>
      </c>
      <c r="I19" s="229">
        <v>0</v>
      </c>
      <c r="J19" s="229">
        <v>0</v>
      </c>
      <c r="K19" s="229">
        <v>1205550.5</v>
      </c>
    </row>
    <row r="20" spans="1:11" ht="12.75">
      <c r="A20" s="232" t="s">
        <v>8</v>
      </c>
      <c r="B20" s="229">
        <v>0</v>
      </c>
      <c r="C20" s="229">
        <v>18947.28</v>
      </c>
      <c r="D20" s="229">
        <v>53110.5</v>
      </c>
      <c r="E20" s="229">
        <v>44144.17</v>
      </c>
      <c r="F20" s="229">
        <v>0</v>
      </c>
      <c r="G20" s="229">
        <v>0</v>
      </c>
      <c r="H20" s="229">
        <v>1028190.45</v>
      </c>
      <c r="I20" s="229">
        <v>0</v>
      </c>
      <c r="J20" s="229">
        <v>1081.01</v>
      </c>
      <c r="K20" s="229">
        <v>1391534.870000001</v>
      </c>
    </row>
    <row r="21" spans="1:11" ht="12.75">
      <c r="A21" s="232" t="s">
        <v>9</v>
      </c>
      <c r="B21" s="229">
        <v>0</v>
      </c>
      <c r="C21" s="229">
        <v>19721.93</v>
      </c>
      <c r="D21" s="229">
        <v>68397.83</v>
      </c>
      <c r="E21" s="229">
        <v>0</v>
      </c>
      <c r="F21" s="229">
        <v>33025.439999999995</v>
      </c>
      <c r="G21" s="236">
        <v>897063.72</v>
      </c>
      <c r="H21" s="229">
        <v>3257989.51</v>
      </c>
      <c r="I21" s="229">
        <v>0</v>
      </c>
      <c r="J21" s="229">
        <v>0</v>
      </c>
      <c r="K21" s="229">
        <v>1496574.6400000043</v>
      </c>
    </row>
    <row r="22" spans="1:11" ht="12.75">
      <c r="A22" s="232" t="s">
        <v>10</v>
      </c>
      <c r="B22" s="229">
        <v>0</v>
      </c>
      <c r="C22" s="229">
        <v>0</v>
      </c>
      <c r="D22" s="229">
        <v>19176.86</v>
      </c>
      <c r="E22" s="229">
        <v>0</v>
      </c>
      <c r="F22" s="229">
        <v>0</v>
      </c>
      <c r="G22" s="229">
        <v>0</v>
      </c>
      <c r="H22" s="229">
        <v>1150544</v>
      </c>
      <c r="I22" s="229">
        <v>13775.67</v>
      </c>
      <c r="J22" s="229">
        <v>0</v>
      </c>
      <c r="K22" s="229">
        <v>0</v>
      </c>
    </row>
    <row r="23" spans="1:11" ht="12.75">
      <c r="A23" s="232"/>
      <c r="B23" s="229"/>
      <c r="C23" s="229"/>
      <c r="D23" s="229"/>
      <c r="E23" s="229"/>
      <c r="F23" s="229"/>
      <c r="G23" s="229"/>
      <c r="H23" s="229"/>
      <c r="I23" s="229"/>
      <c r="J23" s="229"/>
      <c r="K23" s="338"/>
    </row>
    <row r="24" spans="1:11" ht="12.75">
      <c r="A24" s="232" t="s">
        <v>11</v>
      </c>
      <c r="B24" s="229">
        <v>0</v>
      </c>
      <c r="C24" s="229">
        <f>14358.65+3000</f>
        <v>17358.65</v>
      </c>
      <c r="D24" s="229">
        <v>103481.75</v>
      </c>
      <c r="E24" s="229">
        <v>0</v>
      </c>
      <c r="F24" s="229">
        <v>17846.75</v>
      </c>
      <c r="G24" s="229">
        <v>173958.88</v>
      </c>
      <c r="H24" s="229">
        <v>5271334.2</v>
      </c>
      <c r="I24" s="229">
        <v>0</v>
      </c>
      <c r="J24" s="229">
        <v>0</v>
      </c>
      <c r="K24" s="229">
        <v>1594081.679999996</v>
      </c>
    </row>
    <row r="25" spans="1:11" ht="12.75">
      <c r="A25" s="232" t="s">
        <v>12</v>
      </c>
      <c r="B25" s="229">
        <v>0</v>
      </c>
      <c r="C25" s="229">
        <v>16209.62</v>
      </c>
      <c r="D25" s="360">
        <v>15911.449999999999</v>
      </c>
      <c r="E25" s="229">
        <v>134722.5</v>
      </c>
      <c r="F25" s="229">
        <v>0</v>
      </c>
      <c r="G25" s="229">
        <v>0</v>
      </c>
      <c r="H25" s="229">
        <v>814534.35</v>
      </c>
      <c r="I25" s="229">
        <v>0</v>
      </c>
      <c r="J25" s="229">
        <v>0</v>
      </c>
      <c r="K25" s="229">
        <v>195498.90000000037</v>
      </c>
    </row>
    <row r="26" spans="1:11" ht="12.75">
      <c r="A26" s="232" t="s">
        <v>13</v>
      </c>
      <c r="B26" s="229">
        <v>0</v>
      </c>
      <c r="C26" s="229">
        <v>0</v>
      </c>
      <c r="D26" s="360">
        <v>102070.12</v>
      </c>
      <c r="E26" s="229">
        <v>0</v>
      </c>
      <c r="F26" s="229">
        <v>27000</v>
      </c>
      <c r="G26" s="229">
        <v>625283.31</v>
      </c>
      <c r="H26" s="229">
        <v>2051551</v>
      </c>
      <c r="I26" s="229">
        <v>5365.26</v>
      </c>
      <c r="J26" s="229">
        <v>901021.67</v>
      </c>
      <c r="K26" s="229">
        <v>2241370.4600000046</v>
      </c>
    </row>
    <row r="27" spans="1:11" ht="12.75">
      <c r="A27" s="232" t="s">
        <v>14</v>
      </c>
      <c r="B27" s="229">
        <v>0</v>
      </c>
      <c r="C27" s="229">
        <v>0</v>
      </c>
      <c r="D27" s="360">
        <v>96148.89</v>
      </c>
      <c r="E27" s="229">
        <v>0</v>
      </c>
      <c r="F27" s="229">
        <v>101217.51999999999</v>
      </c>
      <c r="G27" s="229">
        <v>99767</v>
      </c>
      <c r="H27" s="229">
        <v>4950799.0600000005</v>
      </c>
      <c r="I27" s="229">
        <v>0</v>
      </c>
      <c r="J27" s="229">
        <v>0</v>
      </c>
      <c r="K27" s="229">
        <v>1604197.3599999994</v>
      </c>
    </row>
    <row r="28" spans="1:11" ht="12.75">
      <c r="A28" s="232" t="s">
        <v>15</v>
      </c>
      <c r="B28" s="229">
        <v>0</v>
      </c>
      <c r="C28" s="229">
        <v>0</v>
      </c>
      <c r="D28" s="360">
        <v>7842.19</v>
      </c>
      <c r="E28" s="229">
        <v>0</v>
      </c>
      <c r="F28" s="229">
        <v>0</v>
      </c>
      <c r="G28" s="229">
        <v>91529.55</v>
      </c>
      <c r="H28" s="229">
        <v>744657</v>
      </c>
      <c r="I28" s="229">
        <v>0</v>
      </c>
      <c r="J28" s="229">
        <v>0</v>
      </c>
      <c r="K28" s="229">
        <v>61050.00000000093</v>
      </c>
    </row>
    <row r="29" spans="1:11" ht="12.75">
      <c r="A29" s="232"/>
      <c r="B29" s="229"/>
      <c r="C29" s="229"/>
      <c r="D29" s="229"/>
      <c r="E29" s="229"/>
      <c r="F29" s="229"/>
      <c r="G29" s="229"/>
      <c r="H29" s="229"/>
      <c r="I29" s="229"/>
      <c r="J29" s="229"/>
      <c r="K29" s="338"/>
    </row>
    <row r="30" spans="1:11" ht="12.75">
      <c r="A30" s="232" t="s">
        <v>16</v>
      </c>
      <c r="B30" s="229">
        <v>0</v>
      </c>
      <c r="C30" s="229">
        <v>0</v>
      </c>
      <c r="D30" s="229">
        <v>417216.60000000003</v>
      </c>
      <c r="E30" s="229">
        <v>4519801</v>
      </c>
      <c r="F30" s="236">
        <v>65255.060000000005</v>
      </c>
      <c r="G30" s="229">
        <v>229218.77</v>
      </c>
      <c r="H30" s="229">
        <v>27844286</v>
      </c>
      <c r="I30" s="229">
        <v>0</v>
      </c>
      <c r="J30" s="229">
        <f>258714.82+85728</f>
        <v>344442.82</v>
      </c>
      <c r="K30" s="229">
        <v>6286314.49999994</v>
      </c>
    </row>
    <row r="31" spans="1:11" ht="12.75">
      <c r="A31" s="232" t="s">
        <v>17</v>
      </c>
      <c r="B31" s="229">
        <v>0</v>
      </c>
      <c r="C31" s="229">
        <v>12894.26</v>
      </c>
      <c r="D31" s="229">
        <v>545204.9</v>
      </c>
      <c r="E31" s="229">
        <v>0</v>
      </c>
      <c r="F31" s="236">
        <v>115768.78</v>
      </c>
      <c r="G31" s="229">
        <v>49339.34</v>
      </c>
      <c r="H31" s="229">
        <v>46542234</v>
      </c>
      <c r="I31" s="229">
        <v>0</v>
      </c>
      <c r="J31" s="229">
        <v>0</v>
      </c>
      <c r="K31" s="229">
        <v>18249693.46000004</v>
      </c>
    </row>
    <row r="32" spans="1:11" ht="12.75">
      <c r="A32" s="232" t="s">
        <v>18</v>
      </c>
      <c r="B32" s="229">
        <v>0</v>
      </c>
      <c r="C32" s="229">
        <v>0</v>
      </c>
      <c r="D32" s="229">
        <v>19874.82</v>
      </c>
      <c r="E32" s="229">
        <v>0</v>
      </c>
      <c r="F32" s="229">
        <v>0</v>
      </c>
      <c r="G32" s="229">
        <v>0</v>
      </c>
      <c r="H32" s="229">
        <v>699776</v>
      </c>
      <c r="I32" s="229">
        <v>0</v>
      </c>
      <c r="J32" s="229">
        <v>0</v>
      </c>
      <c r="K32" s="229">
        <v>671232.1200000001</v>
      </c>
    </row>
    <row r="33" spans="1:11" ht="12.75">
      <c r="A33" s="232" t="s">
        <v>19</v>
      </c>
      <c r="B33" s="229">
        <v>0</v>
      </c>
      <c r="C33" s="229">
        <v>0</v>
      </c>
      <c r="D33" s="229">
        <v>44596.5</v>
      </c>
      <c r="E33" s="229">
        <v>0</v>
      </c>
      <c r="F33" s="229">
        <v>11865.56</v>
      </c>
      <c r="G33" s="229">
        <v>1600795.22</v>
      </c>
      <c r="H33" s="229">
        <v>3171948</v>
      </c>
      <c r="I33" s="229">
        <v>0</v>
      </c>
      <c r="J33" s="229">
        <v>61993.44</v>
      </c>
      <c r="K33" s="229">
        <v>1265383.6100000031</v>
      </c>
    </row>
    <row r="34" spans="1:11" ht="12.75">
      <c r="A34" s="232" t="s">
        <v>20</v>
      </c>
      <c r="B34" s="229">
        <v>0</v>
      </c>
      <c r="C34" s="229">
        <v>0</v>
      </c>
      <c r="D34" s="229">
        <f>14423.89+28292.24</f>
        <v>42716.130000000005</v>
      </c>
      <c r="E34" s="229">
        <v>356362.58</v>
      </c>
      <c r="F34" s="229">
        <v>0</v>
      </c>
      <c r="G34" s="229">
        <v>0</v>
      </c>
      <c r="H34" s="229">
        <v>276976.15</v>
      </c>
      <c r="I34" s="229">
        <v>0</v>
      </c>
      <c r="J34" s="229">
        <v>133854.97</v>
      </c>
      <c r="K34" s="229">
        <v>389049.38999999873</v>
      </c>
    </row>
    <row r="35" spans="1:11" ht="12.75">
      <c r="A35" s="232"/>
      <c r="B35" s="229"/>
      <c r="C35" s="270"/>
      <c r="D35" s="229"/>
      <c r="E35" s="229"/>
      <c r="F35" s="229"/>
      <c r="G35" s="229"/>
      <c r="H35" s="229"/>
      <c r="I35" s="229"/>
      <c r="J35" s="229"/>
      <c r="K35" s="338"/>
    </row>
    <row r="36" spans="1:11" ht="12.75">
      <c r="A36" s="232" t="s">
        <v>21</v>
      </c>
      <c r="B36" s="229">
        <v>0</v>
      </c>
      <c r="C36" s="229">
        <v>0</v>
      </c>
      <c r="D36" s="229">
        <v>15025</v>
      </c>
      <c r="E36" s="229">
        <v>134149.56</v>
      </c>
      <c r="F36" s="229">
        <v>0</v>
      </c>
      <c r="G36" s="229">
        <v>0</v>
      </c>
      <c r="H36" s="229">
        <v>208104</v>
      </c>
      <c r="I36" s="229">
        <v>0</v>
      </c>
      <c r="J36" s="229">
        <v>0</v>
      </c>
      <c r="K36" s="229">
        <v>4945.3100000005215</v>
      </c>
    </row>
    <row r="37" spans="1:11" ht="12.75">
      <c r="A37" s="232" t="s">
        <v>22</v>
      </c>
      <c r="B37" s="229">
        <v>1408</v>
      </c>
      <c r="C37" s="229">
        <v>11760</v>
      </c>
      <c r="D37" s="229">
        <f>86812.13+333868.13</f>
        <v>420680.26</v>
      </c>
      <c r="E37" s="229">
        <v>837809.16</v>
      </c>
      <c r="F37" s="229">
        <v>0</v>
      </c>
      <c r="G37" s="355">
        <v>31235.98</v>
      </c>
      <c r="H37" s="229">
        <v>1342121</v>
      </c>
      <c r="I37" s="229">
        <v>0</v>
      </c>
      <c r="J37" s="229">
        <v>0</v>
      </c>
      <c r="K37" s="229">
        <v>753889.3300000057</v>
      </c>
    </row>
    <row r="38" spans="1:11" ht="12.75">
      <c r="A38" s="232" t="s">
        <v>23</v>
      </c>
      <c r="B38" s="229">
        <v>0</v>
      </c>
      <c r="C38" s="229">
        <v>19207.65</v>
      </c>
      <c r="D38" s="229">
        <v>56246.68</v>
      </c>
      <c r="E38" s="229">
        <v>0</v>
      </c>
      <c r="F38" s="229">
        <v>32058.47</v>
      </c>
      <c r="G38" s="229">
        <v>0</v>
      </c>
      <c r="H38" s="229">
        <v>0</v>
      </c>
      <c r="I38" s="229">
        <v>5815</v>
      </c>
      <c r="J38" s="229">
        <v>0</v>
      </c>
      <c r="K38" s="229">
        <v>1304519.6799999997</v>
      </c>
    </row>
    <row r="39" spans="1:11" ht="12.75">
      <c r="A39" s="356" t="s">
        <v>24</v>
      </c>
      <c r="B39" s="230">
        <v>0</v>
      </c>
      <c r="C39" s="230">
        <v>0</v>
      </c>
      <c r="D39" s="230">
        <v>26198.399999999998</v>
      </c>
      <c r="E39" s="230">
        <v>145114.53</v>
      </c>
      <c r="F39" s="230">
        <v>0</v>
      </c>
      <c r="G39" s="230">
        <v>0</v>
      </c>
      <c r="H39" s="230">
        <v>365542</v>
      </c>
      <c r="I39" s="230">
        <v>0</v>
      </c>
      <c r="J39" s="230">
        <v>0</v>
      </c>
      <c r="K39" s="230">
        <v>632329.0500000026</v>
      </c>
    </row>
    <row r="40" spans="1:11" ht="12.75">
      <c r="A40" s="3"/>
      <c r="B40" s="3"/>
      <c r="C40" s="3"/>
      <c r="D40" s="229"/>
      <c r="E40" s="229"/>
      <c r="F40" s="229"/>
      <c r="G40" s="229"/>
      <c r="H40" s="229"/>
      <c r="I40" s="229"/>
      <c r="J40" s="229"/>
      <c r="K40" s="229"/>
    </row>
    <row r="41" spans="1:11" ht="12.75">
      <c r="A41" s="3"/>
      <c r="B41" s="3"/>
      <c r="C41" s="3"/>
      <c r="D41" s="234"/>
      <c r="E41" s="234"/>
      <c r="F41" s="234"/>
      <c r="G41" s="234"/>
      <c r="H41" s="234"/>
      <c r="I41" s="234"/>
      <c r="J41" s="234"/>
      <c r="K41" s="234"/>
    </row>
    <row r="42" spans="1:11" ht="12.75">
      <c r="A42" s="3"/>
      <c r="B42" s="3"/>
      <c r="C42" s="3"/>
      <c r="D42" s="234"/>
      <c r="E42" s="234"/>
      <c r="F42" s="234"/>
      <c r="G42" s="234"/>
      <c r="H42" s="234"/>
      <c r="I42" s="234"/>
      <c r="J42" s="234"/>
      <c r="K42" s="234"/>
    </row>
    <row r="43" spans="1:11" ht="12.75">
      <c r="A43" s="3"/>
      <c r="B43" s="3"/>
      <c r="C43" s="3"/>
      <c r="D43" s="234"/>
      <c r="E43" s="234"/>
      <c r="F43" s="234"/>
      <c r="G43" s="234"/>
      <c r="H43" s="234"/>
      <c r="I43" s="234"/>
      <c r="J43" s="234"/>
      <c r="K43" s="234"/>
    </row>
    <row r="44" spans="1:11" ht="12.75">
      <c r="A44" s="3"/>
      <c r="B44" s="3"/>
      <c r="C44" s="3"/>
      <c r="D44" s="234"/>
      <c r="E44" s="234"/>
      <c r="F44" s="234"/>
      <c r="G44" s="234"/>
      <c r="H44" s="234"/>
      <c r="I44" s="234"/>
      <c r="J44" s="234"/>
      <c r="K44" s="234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</sheetData>
  <sheetProtection password="CAF5" sheet="1"/>
  <mergeCells count="11">
    <mergeCell ref="G7:G9"/>
    <mergeCell ref="H6:H9"/>
    <mergeCell ref="I6:I9"/>
    <mergeCell ref="J6:J9"/>
    <mergeCell ref="B5:B9"/>
    <mergeCell ref="C5:C9"/>
    <mergeCell ref="A1:K1"/>
    <mergeCell ref="A3:K3"/>
    <mergeCell ref="E6:E9"/>
    <mergeCell ref="F6:F9"/>
    <mergeCell ref="D6:D9"/>
  </mergeCells>
  <printOptions horizontalCentered="1"/>
  <pageMargins left="0.69" right="0.65" top="0.83" bottom="1.2" header="0.67" footer="0.5"/>
  <pageSetup fitToHeight="1" fitToWidth="1" horizontalDpi="600" verticalDpi="600" orientation="landscape" scale="75" r:id="rId1"/>
  <headerFooter scaleWithDoc="0" alignWithMargins="0">
    <oddHeader>&amp;R
</oddHeader>
    <oddFooter>&amp;L&amp;"Arial,Italic"MSDE - LFRO   10 / 2011&amp;C- 16 -&amp;R&amp;"Arial,Italic"Selected Financial Data-Part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zoomScalePageLayoutView="0" workbookViewId="0" topLeftCell="F1">
      <selection activeCell="D17" sqref="D17"/>
    </sheetView>
  </sheetViews>
  <sheetFormatPr defaultColWidth="11.421875" defaultRowHeight="12.75"/>
  <cols>
    <col min="1" max="1" width="17.8515625" style="24" customWidth="1"/>
    <col min="2" max="2" width="12.00390625" style="210" customWidth="1"/>
    <col min="3" max="3" width="17.7109375" style="210" customWidth="1"/>
    <col min="4" max="4" width="13.140625" style="210" customWidth="1"/>
    <col min="5" max="5" width="14.140625" style="210" customWidth="1"/>
    <col min="6" max="6" width="14.00390625" style="210" customWidth="1"/>
    <col min="7" max="7" width="15.57421875" style="210" customWidth="1"/>
    <col min="8" max="8" width="17.421875" style="210" customWidth="1"/>
    <col min="9" max="12" width="14.7109375" style="210" customWidth="1"/>
    <col min="13" max="13" width="12.57421875" style="210" customWidth="1"/>
    <col min="14" max="16384" width="11.421875" style="24" customWidth="1"/>
  </cols>
  <sheetData>
    <row r="1" spans="1:13" ht="12.75">
      <c r="A1" s="22" t="s">
        <v>96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2.75">
      <c r="A2" s="22"/>
      <c r="B2" s="274"/>
      <c r="C2" s="274"/>
      <c r="D2" s="274"/>
      <c r="E2" s="274"/>
      <c r="F2" s="274"/>
      <c r="G2" s="274"/>
      <c r="H2" s="274"/>
      <c r="I2" s="274"/>
      <c r="J2" s="285"/>
      <c r="K2" s="285"/>
      <c r="L2" s="285"/>
      <c r="M2" s="274"/>
    </row>
    <row r="3" spans="1:13" ht="12.75">
      <c r="A3" s="273" t="s">
        <v>271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13.5" thickBot="1">
      <c r="A4" s="48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13" ht="15" customHeight="1" thickTop="1">
      <c r="A5" s="488" t="s">
        <v>175</v>
      </c>
      <c r="B5" s="487" t="s">
        <v>272</v>
      </c>
      <c r="C5" s="487" t="s">
        <v>203</v>
      </c>
      <c r="D5" s="487" t="s">
        <v>177</v>
      </c>
      <c r="E5" s="487" t="s">
        <v>224</v>
      </c>
      <c r="F5" s="487" t="s">
        <v>273</v>
      </c>
      <c r="G5" s="489" t="s">
        <v>97</v>
      </c>
      <c r="H5" s="489"/>
      <c r="I5" s="489"/>
      <c r="J5" s="489"/>
      <c r="K5" s="489"/>
      <c r="L5" s="489"/>
      <c r="M5" s="489"/>
    </row>
    <row r="6" spans="1:13" ht="12.75">
      <c r="A6" s="446"/>
      <c r="B6" s="440"/>
      <c r="C6" s="440"/>
      <c r="D6" s="440"/>
      <c r="E6" s="440"/>
      <c r="F6" s="440"/>
      <c r="G6" s="486" t="s">
        <v>178</v>
      </c>
      <c r="H6" s="486" t="s">
        <v>225</v>
      </c>
      <c r="I6" s="486" t="s">
        <v>222</v>
      </c>
      <c r="J6" s="486" t="s">
        <v>204</v>
      </c>
      <c r="K6" s="486" t="s">
        <v>274</v>
      </c>
      <c r="L6" s="486" t="s">
        <v>174</v>
      </c>
      <c r="M6" s="486" t="s">
        <v>176</v>
      </c>
    </row>
    <row r="7" spans="1:13" ht="12.75">
      <c r="A7" s="446"/>
      <c r="B7" s="440"/>
      <c r="C7" s="440"/>
      <c r="D7" s="440"/>
      <c r="E7" s="440"/>
      <c r="F7" s="440"/>
      <c r="G7" s="440"/>
      <c r="H7" s="440"/>
      <c r="I7" s="424"/>
      <c r="J7" s="424"/>
      <c r="K7" s="437"/>
      <c r="L7" s="440"/>
      <c r="M7" s="440"/>
    </row>
    <row r="8" spans="1:13" ht="12.75">
      <c r="A8" s="446"/>
      <c r="B8" s="440"/>
      <c r="C8" s="440"/>
      <c r="D8" s="440"/>
      <c r="E8" s="440"/>
      <c r="F8" s="440"/>
      <c r="G8" s="440"/>
      <c r="H8" s="440"/>
      <c r="I8" s="424"/>
      <c r="J8" s="424"/>
      <c r="K8" s="437"/>
      <c r="L8" s="440"/>
      <c r="M8" s="440"/>
    </row>
    <row r="9" spans="1:13" ht="13.5" thickBot="1">
      <c r="A9" s="430"/>
      <c r="B9" s="425"/>
      <c r="C9" s="425"/>
      <c r="D9" s="425"/>
      <c r="E9" s="425"/>
      <c r="F9" s="425"/>
      <c r="G9" s="425"/>
      <c r="H9" s="425"/>
      <c r="I9" s="425"/>
      <c r="J9" s="425"/>
      <c r="K9" s="428"/>
      <c r="L9" s="425"/>
      <c r="M9" s="425"/>
    </row>
    <row r="10" spans="1:13" ht="12.75">
      <c r="A10" s="32" t="s">
        <v>0</v>
      </c>
      <c r="B10" s="263">
        <f>SUM(B12:B39)</f>
        <v>814609</v>
      </c>
      <c r="C10" s="278">
        <f>SUM(C12:C39)</f>
        <v>412548792450</v>
      </c>
      <c r="D10" s="387">
        <f>+C10/B10</f>
        <v>506437.80322829727</v>
      </c>
      <c r="E10" s="278">
        <f>SUM(E12:E39)+5</f>
        <v>5452992651</v>
      </c>
      <c r="F10" s="278">
        <f>SUM(F12:F39)-1</f>
        <v>2726493713.422806</v>
      </c>
      <c r="G10" s="278">
        <f>SUM(G12:G39)+2</f>
        <v>2726498937.577194</v>
      </c>
      <c r="H10" s="278">
        <f>SUM(H12:H39)-1</f>
        <v>817948895.8999999</v>
      </c>
      <c r="I10" s="278">
        <f>SUM(I12:I39)+3</f>
        <v>2757544390.218026</v>
      </c>
      <c r="J10" s="286">
        <f>SUM(J12:J39)</f>
        <v>126343414</v>
      </c>
      <c r="K10" s="286">
        <f>SUM(K12:K39)</f>
        <v>-30838493</v>
      </c>
      <c r="L10" s="278">
        <f>SUM(L12:L39)+3</f>
        <v>2853049311.218026</v>
      </c>
      <c r="M10" s="278">
        <f>L10/B10</f>
        <v>3502.354272071664</v>
      </c>
    </row>
    <row r="11" spans="1:13" ht="12.75">
      <c r="A11" s="23"/>
      <c r="B11" s="252"/>
      <c r="C11" s="252"/>
      <c r="D11" s="279"/>
      <c r="E11" s="252"/>
      <c r="F11" s="281"/>
      <c r="G11" s="252"/>
      <c r="H11" s="252"/>
      <c r="I11" s="252"/>
      <c r="J11" s="287"/>
      <c r="K11" s="287"/>
      <c r="L11" s="252"/>
      <c r="M11" s="326"/>
    </row>
    <row r="12" spans="1:13" ht="12.75">
      <c r="A12" s="23" t="s">
        <v>1</v>
      </c>
      <c r="B12" s="354">
        <v>8756.75</v>
      </c>
      <c r="C12" s="252">
        <v>2220989148</v>
      </c>
      <c r="D12" s="389">
        <f>+C12/B12</f>
        <v>253631.67248122877</v>
      </c>
      <c r="E12" s="248">
        <f>(B12*6694)</f>
        <v>58617684.5</v>
      </c>
      <c r="F12" s="252">
        <f>C12*0.66089%</f>
        <v>14678295.1802172</v>
      </c>
      <c r="G12" s="252">
        <f>+E12-F12+1</f>
        <v>43939390.3197828</v>
      </c>
      <c r="H12" s="283">
        <f>E12*0.15</f>
        <v>8792652.674999999</v>
      </c>
      <c r="I12" s="283">
        <f>IF(G12&gt;H12,G12,H12)</f>
        <v>43939390.3197828</v>
      </c>
      <c r="J12" s="352">
        <v>0</v>
      </c>
      <c r="K12" s="248">
        <v>-878978</v>
      </c>
      <c r="L12" s="248">
        <f>I12+J12+K12</f>
        <v>43060412.3197828</v>
      </c>
      <c r="M12" s="326">
        <f>L12/B12</f>
        <v>4917.396559200936</v>
      </c>
    </row>
    <row r="13" spans="1:13" ht="12.75">
      <c r="A13" s="23" t="s">
        <v>2</v>
      </c>
      <c r="B13" s="354">
        <v>71834</v>
      </c>
      <c r="C13" s="252">
        <v>45797993145</v>
      </c>
      <c r="D13" s="389">
        <f>+C13/B13</f>
        <v>637553.1523373333</v>
      </c>
      <c r="E13" s="248">
        <f>(B13*6694)</f>
        <v>480856796</v>
      </c>
      <c r="F13" s="252">
        <f>C13*0.66089%</f>
        <v>302674356.8959905</v>
      </c>
      <c r="G13" s="252">
        <f>+E13-F13</f>
        <v>178182439.1040095</v>
      </c>
      <c r="H13" s="283">
        <f>E13*0.15</f>
        <v>72128519.39999999</v>
      </c>
      <c r="I13" s="283">
        <f>IF(G13&gt;H13,G13,H13)</f>
        <v>178182439.1040095</v>
      </c>
      <c r="J13" s="287">
        <v>8655422</v>
      </c>
      <c r="K13" s="287">
        <v>-5154362</v>
      </c>
      <c r="L13" s="248">
        <f>I13+J13+K13</f>
        <v>181683499.1040095</v>
      </c>
      <c r="M13" s="326">
        <f>L13/B13</f>
        <v>2529.213173483441</v>
      </c>
    </row>
    <row r="14" spans="1:13" ht="12.75">
      <c r="A14" s="23" t="s">
        <v>3</v>
      </c>
      <c r="B14" s="354">
        <v>77871</v>
      </c>
      <c r="C14" s="252">
        <v>21179186415</v>
      </c>
      <c r="D14" s="389">
        <f>+C14/B14</f>
        <v>271977.84046692605</v>
      </c>
      <c r="E14" s="248">
        <f>(B14*6694)</f>
        <v>521268474</v>
      </c>
      <c r="F14" s="252">
        <f>C14*0.66089%</f>
        <v>139971125.0980935</v>
      </c>
      <c r="G14" s="252">
        <f>+E14-F14</f>
        <v>381297348.9019065</v>
      </c>
      <c r="H14" s="283">
        <f>E14*0.15</f>
        <v>78190271.1</v>
      </c>
      <c r="I14" s="283">
        <f>IF(G14&gt;H14,G14,H14)</f>
        <v>381297348.9019065</v>
      </c>
      <c r="J14" s="287">
        <v>21893276</v>
      </c>
      <c r="K14" s="352">
        <v>0</v>
      </c>
      <c r="L14" s="248">
        <f>I14+J14+K14</f>
        <v>403190624.9019065</v>
      </c>
      <c r="M14" s="326">
        <f>L14/B14</f>
        <v>5177.673651319573</v>
      </c>
    </row>
    <row r="15" spans="1:13" ht="12.75">
      <c r="A15" s="23" t="s">
        <v>4</v>
      </c>
      <c r="B15" s="354">
        <v>99294.25</v>
      </c>
      <c r="C15" s="252">
        <v>50708547254</v>
      </c>
      <c r="D15" s="389">
        <f>+C15/B15</f>
        <v>510689.6648496766</v>
      </c>
      <c r="E15" s="248">
        <f>(B15*6694)</f>
        <v>664675709.5</v>
      </c>
      <c r="F15" s="252">
        <f>C15*0.66089%</f>
        <v>335127717.9469606</v>
      </c>
      <c r="G15" s="252">
        <f>+E15-F15</f>
        <v>329547991.5530394</v>
      </c>
      <c r="H15" s="283">
        <f>E15*0.15</f>
        <v>99701356.425</v>
      </c>
      <c r="I15" s="283">
        <f>IF(G15&gt;H15,G15,H15)</f>
        <v>329547991.5530394</v>
      </c>
      <c r="J15" s="287">
        <v>5317406</v>
      </c>
      <c r="K15" s="287">
        <v>-5991962</v>
      </c>
      <c r="L15" s="248">
        <f>I15+J15+K15</f>
        <v>328873435.5530394</v>
      </c>
      <c r="M15" s="326">
        <f>L15/B15</f>
        <v>3312.1095688122864</v>
      </c>
    </row>
    <row r="16" spans="1:13" ht="12.75">
      <c r="A16" s="23" t="s">
        <v>5</v>
      </c>
      <c r="B16" s="354">
        <v>16661.75</v>
      </c>
      <c r="C16" s="252">
        <v>7173848526</v>
      </c>
      <c r="D16" s="389">
        <f>+C16/B16</f>
        <v>430557.92614821374</v>
      </c>
      <c r="E16" s="248">
        <f>(B16*6694)</f>
        <v>111533754.5</v>
      </c>
      <c r="F16" s="252">
        <f>C16*0.66089%</f>
        <v>47411247.5234814</v>
      </c>
      <c r="G16" s="252">
        <f>+E16-F16</f>
        <v>64122506.9765186</v>
      </c>
      <c r="H16" s="283">
        <f>E16*0.15</f>
        <v>16730063.174999999</v>
      </c>
      <c r="I16" s="283">
        <f>IF(G16&gt;H16,G16,H16)</f>
        <v>64122506.9765186</v>
      </c>
      <c r="J16" s="287">
        <v>2342209</v>
      </c>
      <c r="K16" s="287">
        <v>-895611</v>
      </c>
      <c r="L16" s="248">
        <f>I16+J16+K16</f>
        <v>65569104.9765186</v>
      </c>
      <c r="M16" s="326">
        <f>L16/B16</f>
        <v>3935.307214219311</v>
      </c>
    </row>
    <row r="17" spans="1:13" ht="12.75">
      <c r="A17" s="23"/>
      <c r="C17" s="252"/>
      <c r="D17" s="389"/>
      <c r="E17" s="280"/>
      <c r="G17" s="252"/>
      <c r="H17" s="283"/>
      <c r="J17" s="287"/>
      <c r="K17" s="287"/>
      <c r="L17" s="252"/>
      <c r="M17" s="326"/>
    </row>
    <row r="18" spans="1:13" ht="12.75">
      <c r="A18" s="23" t="s">
        <v>6</v>
      </c>
      <c r="B18" s="354">
        <v>5253</v>
      </c>
      <c r="C18" s="252">
        <v>1607898659</v>
      </c>
      <c r="D18" s="389">
        <f>+C18/B18</f>
        <v>306091.5018084904</v>
      </c>
      <c r="E18" s="248">
        <f>(B18*6694)</f>
        <v>35163582</v>
      </c>
      <c r="F18" s="252">
        <f>C18*0.66089%</f>
        <v>10626441.4474651</v>
      </c>
      <c r="G18" s="252">
        <f>+E18-F18</f>
        <v>24537140.5525349</v>
      </c>
      <c r="H18" s="283">
        <f>E18*0.15</f>
        <v>5274537.3</v>
      </c>
      <c r="I18" s="283">
        <f>IF(G18&gt;H18,G18,H18)</f>
        <v>24537140.5525349</v>
      </c>
      <c r="J18" s="352">
        <v>0</v>
      </c>
      <c r="K18" s="248">
        <v>-356786</v>
      </c>
      <c r="L18" s="248">
        <f>I18+J18+K18</f>
        <v>24180354.5525349</v>
      </c>
      <c r="M18" s="326">
        <f>L18/B18</f>
        <v>4603.151447274871</v>
      </c>
    </row>
    <row r="19" spans="1:13" ht="12.75">
      <c r="A19" s="23" t="s">
        <v>7</v>
      </c>
      <c r="B19" s="354">
        <v>27628.5</v>
      </c>
      <c r="C19" s="252">
        <v>11888917138</v>
      </c>
      <c r="D19" s="389">
        <f>+C19/B19</f>
        <v>430313.52183433773</v>
      </c>
      <c r="E19" s="248">
        <f>(B19*6694)</f>
        <v>184945179</v>
      </c>
      <c r="F19" s="252">
        <f>C19*0.66089%</f>
        <v>78572664.4733282</v>
      </c>
      <c r="G19" s="252">
        <f>+E19-F19</f>
        <v>106372514.5266718</v>
      </c>
      <c r="H19" s="283">
        <f>E19*0.15</f>
        <v>27741776.849999998</v>
      </c>
      <c r="I19" s="283">
        <f>IF(G19&gt;H19,G19,H19)</f>
        <v>106372514.5266718</v>
      </c>
      <c r="J19" s="287">
        <v>2589233</v>
      </c>
      <c r="K19" s="353">
        <v>-1429622</v>
      </c>
      <c r="L19" s="248">
        <f>I19+J19+K19</f>
        <v>107532125.5266718</v>
      </c>
      <c r="M19" s="326">
        <f>L19/B19</f>
        <v>3892.072516664741</v>
      </c>
    </row>
    <row r="20" spans="1:13" ht="12.75">
      <c r="A20" s="23" t="s">
        <v>8</v>
      </c>
      <c r="B20" s="354">
        <v>15628</v>
      </c>
      <c r="C20" s="252">
        <v>5942054677</v>
      </c>
      <c r="D20" s="389">
        <f>+C20/B20</f>
        <v>380218.4973765037</v>
      </c>
      <c r="E20" s="248">
        <f>(B20*6694)</f>
        <v>104613832</v>
      </c>
      <c r="F20" s="252">
        <f>C20*0.66089%</f>
        <v>39270445.1548253</v>
      </c>
      <c r="G20" s="252">
        <f>+E20-F20</f>
        <v>65343386.8451747</v>
      </c>
      <c r="H20" s="283">
        <f>E20*0.15</f>
        <v>15692074.799999999</v>
      </c>
      <c r="I20" s="283">
        <f>IF(G20&gt;H20,G20,H20)</f>
        <v>65343386.8451747</v>
      </c>
      <c r="J20" s="352">
        <v>0</v>
      </c>
      <c r="K20" s="248">
        <v>-975906</v>
      </c>
      <c r="L20" s="248">
        <f>I20+J20+K20</f>
        <v>64367480.8451747</v>
      </c>
      <c r="M20" s="326">
        <f>L20/B20</f>
        <v>4118.7279783193435</v>
      </c>
    </row>
    <row r="21" spans="1:13" ht="12.75">
      <c r="A21" s="23" t="s">
        <v>9</v>
      </c>
      <c r="B21" s="354">
        <v>25860.5</v>
      </c>
      <c r="C21" s="252">
        <v>10188275518</v>
      </c>
      <c r="D21" s="389">
        <f>+C21/B21</f>
        <v>393970.5542429574</v>
      </c>
      <c r="E21" s="248">
        <f>(B21*6694)</f>
        <v>173110187</v>
      </c>
      <c r="F21" s="252">
        <f>C21*0.66089%</f>
        <v>67333294.0709102</v>
      </c>
      <c r="G21" s="252">
        <f>+E21-F21</f>
        <v>105776892.9290898</v>
      </c>
      <c r="H21" s="283">
        <f>E21*0.15</f>
        <v>25966528.05</v>
      </c>
      <c r="I21" s="283">
        <f>IF(G21&gt;H21,G21,H21)</f>
        <v>105776892.9290898</v>
      </c>
      <c r="J21" s="287">
        <v>3462204</v>
      </c>
      <c r="K21" s="353">
        <v>-2545208</v>
      </c>
      <c r="L21" s="248">
        <f>I21+J21+K21</f>
        <v>106693888.9290898</v>
      </c>
      <c r="M21" s="326">
        <f>L21/B21</f>
        <v>4125.74733392973</v>
      </c>
    </row>
    <row r="22" spans="1:13" ht="12.75">
      <c r="A22" s="23" t="s">
        <v>10</v>
      </c>
      <c r="B22" s="354">
        <v>4322</v>
      </c>
      <c r="C22" s="252">
        <v>1748729592</v>
      </c>
      <c r="D22" s="389">
        <f>+C22/B22</f>
        <v>404611.19666820916</v>
      </c>
      <c r="E22" s="248">
        <f>(B22*6694)</f>
        <v>28931468</v>
      </c>
      <c r="F22" s="252">
        <f>C22*0.66089%</f>
        <v>11557179.0005688</v>
      </c>
      <c r="G22" s="252">
        <f>+E22-F22</f>
        <v>17374288.9994312</v>
      </c>
      <c r="H22" s="283">
        <f>E22*0.15</f>
        <v>4339720.2</v>
      </c>
      <c r="I22" s="283">
        <f>IF(G22&gt;H22,G22,H22)</f>
        <v>17374288.9994312</v>
      </c>
      <c r="J22" s="352">
        <v>0</v>
      </c>
      <c r="K22" s="248">
        <v>-337509</v>
      </c>
      <c r="L22" s="248">
        <f>I22+J22+K22</f>
        <v>17036779.9994312</v>
      </c>
      <c r="M22" s="326">
        <f>L22/B22</f>
        <v>3941.87413221453</v>
      </c>
    </row>
    <row r="23" spans="1:13" ht="12.75">
      <c r="A23" s="23"/>
      <c r="B23" s="354"/>
      <c r="C23" s="252"/>
      <c r="D23" s="389"/>
      <c r="E23" s="280"/>
      <c r="F23" s="252"/>
      <c r="G23" s="252"/>
      <c r="H23" s="283"/>
      <c r="I23" s="252"/>
      <c r="J23" s="287"/>
      <c r="K23" s="287"/>
      <c r="L23" s="252"/>
      <c r="M23" s="326"/>
    </row>
    <row r="24" spans="1:13" ht="12.75">
      <c r="A24" s="23" t="s">
        <v>11</v>
      </c>
      <c r="B24" s="354">
        <v>39089</v>
      </c>
      <c r="C24" s="252">
        <v>17234542806</v>
      </c>
      <c r="D24" s="389">
        <f>+C24/B24</f>
        <v>440905.1857555834</v>
      </c>
      <c r="E24" s="248">
        <f>(B24*6694)</f>
        <v>261661766</v>
      </c>
      <c r="F24" s="252">
        <f>C24*0.66089%</f>
        <v>113901369.9505734</v>
      </c>
      <c r="G24" s="252">
        <f>+E24-F24</f>
        <v>147760396.04942662</v>
      </c>
      <c r="H24" s="283">
        <f>E24*0.15</f>
        <v>39249264.9</v>
      </c>
      <c r="I24" s="283">
        <f>IF(G24&gt;H24,G24,H24)</f>
        <v>147760396.04942662</v>
      </c>
      <c r="J24" s="287">
        <v>6279882</v>
      </c>
      <c r="K24" s="287">
        <v>-2147774</v>
      </c>
      <c r="L24" s="248">
        <f>I24+J24+K24</f>
        <v>151892504.04942662</v>
      </c>
      <c r="M24" s="326">
        <f>L24/B24</f>
        <v>3885.81196882567</v>
      </c>
    </row>
    <row r="25" spans="1:13" ht="12.75">
      <c r="A25" s="23" t="s">
        <v>12</v>
      </c>
      <c r="B25" s="354">
        <v>4290.75</v>
      </c>
      <c r="C25" s="252">
        <v>2160158865</v>
      </c>
      <c r="D25" s="389">
        <f>+C25/B25</f>
        <v>503445.5200139836</v>
      </c>
      <c r="E25" s="248">
        <f>(B25*6694)</f>
        <v>28722280.5</v>
      </c>
      <c r="F25" s="252">
        <f>C25*0.66089%</f>
        <v>14276273.9228985</v>
      </c>
      <c r="G25" s="252">
        <f>+E25-F25</f>
        <v>14446006.5771015</v>
      </c>
      <c r="H25" s="283">
        <f>E25*0.15</f>
        <v>4308342.075</v>
      </c>
      <c r="I25" s="283">
        <f>IF(G25&gt;H25,G25,H25)</f>
        <v>14446006.5771015</v>
      </c>
      <c r="J25" s="352">
        <v>0</v>
      </c>
      <c r="K25" s="352">
        <v>0</v>
      </c>
      <c r="L25" s="248">
        <f>I25+J25+K25</f>
        <v>14446006.5771015</v>
      </c>
      <c r="M25" s="326">
        <f>L25/B25</f>
        <v>3366.7789027795843</v>
      </c>
    </row>
    <row r="26" spans="1:13" ht="12.75">
      <c r="A26" s="23" t="s">
        <v>13</v>
      </c>
      <c r="B26" s="354">
        <v>37669.75</v>
      </c>
      <c r="C26" s="252">
        <v>15668792562</v>
      </c>
      <c r="D26" s="389">
        <f>+C26/B26</f>
        <v>415951.5941040225</v>
      </c>
      <c r="E26" s="248">
        <f>(B26*6694)</f>
        <v>252161306.5</v>
      </c>
      <c r="F26" s="252">
        <f>C26*0.66089%</f>
        <v>103553483.1630018</v>
      </c>
      <c r="G26" s="252">
        <f>(+E26-F26)+1</f>
        <v>148607824.3369982</v>
      </c>
      <c r="H26" s="283">
        <f>E26*0.15</f>
        <v>37824195.975</v>
      </c>
      <c r="I26" s="283">
        <f>IF(G26&gt;H26,G26,H26)</f>
        <v>148607824.3369982</v>
      </c>
      <c r="J26" s="352">
        <v>0</v>
      </c>
      <c r="K26" s="248">
        <v>-1963041</v>
      </c>
      <c r="L26" s="248">
        <f>I26+J26+K26</f>
        <v>146644783.3369982</v>
      </c>
      <c r="M26" s="326">
        <f>L26/B26</f>
        <v>3892.905669323481</v>
      </c>
    </row>
    <row r="27" spans="1:13" ht="12.75">
      <c r="A27" s="23" t="s">
        <v>14</v>
      </c>
      <c r="B27" s="354">
        <v>48832.25</v>
      </c>
      <c r="C27" s="252">
        <v>27524160937</v>
      </c>
      <c r="D27" s="389">
        <f>+C27/B27</f>
        <v>563647.1990743822</v>
      </c>
      <c r="E27" s="248">
        <f>(B27*6694)</f>
        <v>326883081.5</v>
      </c>
      <c r="F27" s="252">
        <f>C27*0.66089%</f>
        <v>181904427.2165393</v>
      </c>
      <c r="G27" s="252">
        <f>+E27-F27+1</f>
        <v>144978655.2834607</v>
      </c>
      <c r="H27" s="283">
        <f>E27*0.15</f>
        <v>49032462.225</v>
      </c>
      <c r="I27" s="283">
        <f>IF(G27&gt;H27,G27,H27)</f>
        <v>144978655.2834607</v>
      </c>
      <c r="J27" s="287">
        <v>4903246</v>
      </c>
      <c r="K27" s="353">
        <v>-3167202</v>
      </c>
      <c r="L27" s="248">
        <f>I27+J27+K27</f>
        <v>146714699.2834607</v>
      </c>
      <c r="M27" s="326">
        <f>L27/B27</f>
        <v>3004.4632242720886</v>
      </c>
    </row>
    <row r="28" spans="1:13" ht="12.75">
      <c r="A28" s="23" t="s">
        <v>15</v>
      </c>
      <c r="B28" s="354">
        <v>2081</v>
      </c>
      <c r="C28" s="252">
        <v>1542759904</v>
      </c>
      <c r="D28" s="389">
        <f>+C28/B28</f>
        <v>741355.0716001922</v>
      </c>
      <c r="E28" s="248">
        <f>(B28*6694)</f>
        <v>13930214</v>
      </c>
      <c r="F28" s="252">
        <f>C28*0.66089%</f>
        <v>10195945.9295456</v>
      </c>
      <c r="G28" s="252">
        <f>+E28-F28</f>
        <v>3734268.0704544</v>
      </c>
      <c r="H28" s="283">
        <f>E28*0.15</f>
        <v>2089532.0999999999</v>
      </c>
      <c r="I28" s="283">
        <f>IF(G28&gt;H28,G28,H28)</f>
        <v>3734268.0704544</v>
      </c>
      <c r="J28" s="287">
        <v>139302</v>
      </c>
      <c r="K28" s="352">
        <v>0</v>
      </c>
      <c r="L28" s="248">
        <f>I28+J28+K28</f>
        <v>3873570.0704544</v>
      </c>
      <c r="M28" s="326">
        <f>L28/B28</f>
        <v>1861.3984000261412</v>
      </c>
    </row>
    <row r="29" spans="1:13" ht="12.75">
      <c r="A29" s="23"/>
      <c r="C29" s="252"/>
      <c r="D29" s="389"/>
      <c r="E29" s="280"/>
      <c r="F29" s="252"/>
      <c r="G29" s="252"/>
      <c r="H29" s="283"/>
      <c r="J29" s="287"/>
      <c r="K29" s="287"/>
      <c r="L29" s="252"/>
      <c r="M29" s="326"/>
    </row>
    <row r="30" spans="1:13" ht="12.75">
      <c r="A30" s="23" t="s">
        <v>16</v>
      </c>
      <c r="B30" s="354">
        <v>135970</v>
      </c>
      <c r="C30" s="252">
        <v>103887107105</v>
      </c>
      <c r="D30" s="389">
        <f>+C30/B30</f>
        <v>764044.3267264838</v>
      </c>
      <c r="E30" s="248">
        <f>(B30*6694)</f>
        <v>910183180</v>
      </c>
      <c r="F30" s="252">
        <f>C30*0.66089%</f>
        <v>686579502.1462345</v>
      </c>
      <c r="G30" s="252">
        <f>+E30-F30</f>
        <v>223603677.8537655</v>
      </c>
      <c r="H30" s="283">
        <f>E30*0.15</f>
        <v>136527477</v>
      </c>
      <c r="I30" s="283">
        <f>IF(G30&gt;H30,G30,H30)</f>
        <v>223603677.8537655</v>
      </c>
      <c r="J30" s="287">
        <v>30946228</v>
      </c>
      <c r="K30" s="352">
        <v>0</v>
      </c>
      <c r="L30" s="248">
        <f>I30+J30+K30</f>
        <v>254549905.8537655</v>
      </c>
      <c r="M30" s="326">
        <f>L30/B30</f>
        <v>1872.1034482147936</v>
      </c>
    </row>
    <row r="31" spans="1:13" ht="12.75">
      <c r="A31" s="23" t="s">
        <v>17</v>
      </c>
      <c r="B31" s="354">
        <v>121525.25</v>
      </c>
      <c r="C31" s="252">
        <v>48132351378</v>
      </c>
      <c r="D31" s="389">
        <f>+C31/B31</f>
        <v>396068.72956854646</v>
      </c>
      <c r="E31" s="248">
        <f>(B31*6694)</f>
        <v>813490023.5</v>
      </c>
      <c r="F31" s="252">
        <f>C31*0.66089%</f>
        <v>318101897.0220642</v>
      </c>
      <c r="G31" s="252">
        <f>+E31-F31+1</f>
        <v>495388127.4779358</v>
      </c>
      <c r="H31" s="283">
        <f>E31*0.15</f>
        <v>122023503.52499999</v>
      </c>
      <c r="I31" s="283">
        <f>IF(G31&gt;H31,G31,H31)</f>
        <v>495388127.4779358</v>
      </c>
      <c r="J31" s="287">
        <v>39047521</v>
      </c>
      <c r="K31" s="287">
        <v>-67701</v>
      </c>
      <c r="L31" s="248">
        <f>I31+J31+K31</f>
        <v>534367947.4779358</v>
      </c>
      <c r="M31" s="326">
        <f>L31/B31</f>
        <v>4397.176286228054</v>
      </c>
    </row>
    <row r="32" spans="1:13" ht="12.75">
      <c r="A32" s="23" t="s">
        <v>18</v>
      </c>
      <c r="B32" s="354">
        <v>7517.25</v>
      </c>
      <c r="C32" s="252">
        <v>4418443744</v>
      </c>
      <c r="D32" s="389">
        <f>+C32/B32</f>
        <v>587773.9524427151</v>
      </c>
      <c r="E32" s="248">
        <f>(B32*6694)</f>
        <v>50320471.5</v>
      </c>
      <c r="F32" s="252">
        <f>C32*0.66089%</f>
        <v>29201052.8597216</v>
      </c>
      <c r="G32" s="252">
        <f>+E32-F32</f>
        <v>21119418.6402784</v>
      </c>
      <c r="H32" s="283">
        <f>E32*0.15</f>
        <v>7548070.725</v>
      </c>
      <c r="I32" s="283">
        <f>IF(G32&gt;H32,G32,H32)</f>
        <v>21119418.6402784</v>
      </c>
      <c r="J32" s="287">
        <v>553525</v>
      </c>
      <c r="K32" s="287">
        <v>-497460</v>
      </c>
      <c r="L32" s="248">
        <f>I32+J32+K32</f>
        <v>21175483.6402784</v>
      </c>
      <c r="M32" s="326">
        <f>L32/B32</f>
        <v>2816.9189052217766</v>
      </c>
    </row>
    <row r="33" spans="1:13" ht="12.75">
      <c r="A33" s="23" t="s">
        <v>19</v>
      </c>
      <c r="B33" s="354">
        <v>15981.5</v>
      </c>
      <c r="C33" s="252">
        <v>6604861997</v>
      </c>
      <c r="D33" s="389">
        <f>+C33/B33</f>
        <v>413281.731814911</v>
      </c>
      <c r="E33" s="248">
        <f>(B33*6694)</f>
        <v>106980161</v>
      </c>
      <c r="F33" s="252">
        <f>C33*0.66089%</f>
        <v>43650872.4519733</v>
      </c>
      <c r="G33" s="252">
        <f>+E33-F33</f>
        <v>63329288.5480267</v>
      </c>
      <c r="H33" s="283">
        <f>E33*0.15</f>
        <v>16047024.149999999</v>
      </c>
      <c r="I33" s="283">
        <f>IF(G33&gt;H33,G33,H33)</f>
        <v>63329288.5480267</v>
      </c>
      <c r="J33" s="287">
        <v>213960</v>
      </c>
      <c r="K33" s="287">
        <v>-1417905</v>
      </c>
      <c r="L33" s="248">
        <f>I33+J33+K33</f>
        <v>62125343.5480267</v>
      </c>
      <c r="M33" s="326">
        <f>L33/B33</f>
        <v>3887.3286955559056</v>
      </c>
    </row>
    <row r="34" spans="1:13" ht="12.75">
      <c r="A34" s="23" t="s">
        <v>20</v>
      </c>
      <c r="B34" s="354">
        <v>2714</v>
      </c>
      <c r="C34" s="252">
        <v>885521249</v>
      </c>
      <c r="D34" s="389">
        <f>+C34/B34</f>
        <v>326279.015843773</v>
      </c>
      <c r="E34" s="248">
        <f>(B34*6694)</f>
        <v>18167516</v>
      </c>
      <c r="F34" s="252">
        <f>C34*0.66089%</f>
        <v>5852321.3825161</v>
      </c>
      <c r="G34" s="252">
        <f>+E34-F34</f>
        <v>12315194.617483899</v>
      </c>
      <c r="H34" s="283">
        <f>E34*0.15</f>
        <v>2725127.4</v>
      </c>
      <c r="I34" s="283">
        <f>IF(G34&gt;H34,G34,H34)</f>
        <v>12315194.617483899</v>
      </c>
      <c r="J34" s="352">
        <v>0</v>
      </c>
      <c r="K34" s="352">
        <v>0</v>
      </c>
      <c r="L34" s="248">
        <f>I34+J34+K34</f>
        <v>12315194.617483899</v>
      </c>
      <c r="M34" s="326">
        <f>L34/B34</f>
        <v>4537.654612190088</v>
      </c>
    </row>
    <row r="35" spans="1:13" ht="12.75">
      <c r="A35" s="23"/>
      <c r="C35" s="252"/>
      <c r="D35" s="389"/>
      <c r="E35" s="280"/>
      <c r="F35" s="252"/>
      <c r="G35" s="252"/>
      <c r="H35" s="283"/>
      <c r="I35" s="252"/>
      <c r="J35" s="287"/>
      <c r="K35" s="287"/>
      <c r="L35" s="252"/>
      <c r="M35" s="326"/>
    </row>
    <row r="36" spans="1:13" ht="12.75">
      <c r="A36" s="23" t="s">
        <v>21</v>
      </c>
      <c r="B36" s="354">
        <v>4259.25</v>
      </c>
      <c r="C36" s="252">
        <v>4648015080</v>
      </c>
      <c r="D36" s="388">
        <f>+C36/B36</f>
        <v>1091275.4780771262</v>
      </c>
      <c r="E36" s="248">
        <f>(B36*6694)</f>
        <v>28511419.5</v>
      </c>
      <c r="F36" s="252">
        <f>C36*0.66089%</f>
        <v>30718266.862212</v>
      </c>
      <c r="G36" s="248">
        <f>+E36-F36</f>
        <v>-2206847.3622119986</v>
      </c>
      <c r="H36" s="283">
        <f>E36*0.15</f>
        <v>4276712.925</v>
      </c>
      <c r="I36" s="283">
        <f>IF(G36&gt;H36,G36,H36)</f>
        <v>4276712.925</v>
      </c>
      <c r="J36" s="352">
        <v>0</v>
      </c>
      <c r="K36" s="352">
        <v>0</v>
      </c>
      <c r="L36" s="248">
        <f>I36+J36+K36</f>
        <v>4276712.925</v>
      </c>
      <c r="M36" s="326">
        <f>L36/B36</f>
        <v>1004.0999999999999</v>
      </c>
    </row>
    <row r="37" spans="1:13" ht="12.75">
      <c r="A37" s="23" t="s">
        <v>22</v>
      </c>
      <c r="B37" s="354">
        <v>21238.25</v>
      </c>
      <c r="C37" s="252">
        <v>7904555634</v>
      </c>
      <c r="D37" s="388">
        <f>+C37/B37</f>
        <v>372184.88500700385</v>
      </c>
      <c r="E37" s="248">
        <f>(B37*6694)</f>
        <v>142168845.5</v>
      </c>
      <c r="F37" s="252">
        <f>C37*0.66089%</f>
        <v>52240417.7295426</v>
      </c>
      <c r="G37" s="252">
        <f>+E37-F37</f>
        <v>89928427.7704574</v>
      </c>
      <c r="H37" s="283">
        <f>E37*0.15</f>
        <v>21325326.825</v>
      </c>
      <c r="I37" s="283">
        <f>IF(G37&gt;H37,G37,H37)</f>
        <v>89928427.7704574</v>
      </c>
      <c r="J37" s="352">
        <v>0</v>
      </c>
      <c r="K37" s="248">
        <v>-1770294</v>
      </c>
      <c r="L37" s="248">
        <f>I37+J37+K37</f>
        <v>88158133.7704574</v>
      </c>
      <c r="M37" s="326">
        <f>L37/B37</f>
        <v>4150.913270653533</v>
      </c>
    </row>
    <row r="38" spans="1:13" ht="12.75">
      <c r="A38" s="23" t="s">
        <v>23</v>
      </c>
      <c r="B38" s="354">
        <v>14013</v>
      </c>
      <c r="C38" s="252">
        <v>4325142980</v>
      </c>
      <c r="D38" s="388">
        <f>+C38/B38</f>
        <v>308652.1786912153</v>
      </c>
      <c r="E38" s="248">
        <f>(B38*6694)</f>
        <v>93803022</v>
      </c>
      <c r="F38" s="252">
        <f>C38*0.66089%</f>
        <v>28584437.440522</v>
      </c>
      <c r="G38" s="252">
        <f>+E38-F38</f>
        <v>65218584.559478</v>
      </c>
      <c r="H38" s="283">
        <f>E38*0.15</f>
        <v>14070453.299999999</v>
      </c>
      <c r="I38" s="283">
        <f>IF(G38&gt;H38,G38,H38)</f>
        <v>65218584.559478</v>
      </c>
      <c r="J38" s="352">
        <v>0</v>
      </c>
      <c r="K38" s="248">
        <v>-1241172</v>
      </c>
      <c r="L38" s="248">
        <f>I38+J38+K38</f>
        <v>63977412.559478</v>
      </c>
      <c r="M38" s="326">
        <f>L38/B38</f>
        <v>4565.575719651609</v>
      </c>
    </row>
    <row r="39" spans="1:13" ht="12.75">
      <c r="A39" s="23" t="s">
        <v>24</v>
      </c>
      <c r="B39" s="354">
        <v>6318</v>
      </c>
      <c r="C39" s="252">
        <v>9155938137</v>
      </c>
      <c r="D39" s="388">
        <f>+C39/B39</f>
        <v>1449182.9909781576</v>
      </c>
      <c r="E39" s="248">
        <f>(B39*6694)</f>
        <v>42292692</v>
      </c>
      <c r="F39" s="252">
        <f>C39*0.66089%</f>
        <v>60510679.5536193</v>
      </c>
      <c r="G39" s="230">
        <f>+E39-F39</f>
        <v>-18217987.553619303</v>
      </c>
      <c r="H39" s="253">
        <f>E39*0.15</f>
        <v>6343903.8</v>
      </c>
      <c r="I39" s="253">
        <f>IF(G39&gt;H39,G39,H39)</f>
        <v>6343903.8</v>
      </c>
      <c r="J39" s="352">
        <v>0</v>
      </c>
      <c r="K39" s="352">
        <v>0</v>
      </c>
      <c r="L39" s="248">
        <f>I39+J39+K39</f>
        <v>6343903.8</v>
      </c>
      <c r="M39" s="326">
        <f>L39/B39</f>
        <v>1004.1</v>
      </c>
    </row>
    <row r="40" spans="1:13" ht="12.75">
      <c r="A40" s="26" t="s">
        <v>117</v>
      </c>
      <c r="B40" s="277"/>
      <c r="C40" s="277"/>
      <c r="D40" s="277"/>
      <c r="E40" s="277"/>
      <c r="F40" s="277"/>
      <c r="G40" s="277"/>
      <c r="H40" s="283"/>
      <c r="J40" s="277"/>
      <c r="K40" s="277"/>
      <c r="L40" s="277"/>
      <c r="M40" s="277"/>
    </row>
    <row r="41" spans="1:13" ht="12.75">
      <c r="A41" s="23" t="s">
        <v>118</v>
      </c>
      <c r="B41" s="252"/>
      <c r="C41" s="270"/>
      <c r="D41" s="270"/>
      <c r="E41" s="270"/>
      <c r="F41" s="270"/>
      <c r="G41" s="270"/>
      <c r="H41" s="270"/>
      <c r="J41" s="270"/>
      <c r="K41" s="270"/>
      <c r="L41" s="270"/>
      <c r="M41" s="270"/>
    </row>
    <row r="42" spans="1:13" ht="12.75">
      <c r="A42" s="264" t="s">
        <v>276</v>
      </c>
      <c r="B42" s="252"/>
      <c r="C42" s="252"/>
      <c r="D42" s="252"/>
      <c r="E42" s="252"/>
      <c r="F42" s="252"/>
      <c r="G42" s="252"/>
      <c r="H42" s="252"/>
      <c r="J42" s="252"/>
      <c r="K42" s="252"/>
      <c r="L42" s="252"/>
      <c r="M42" s="252"/>
    </row>
    <row r="43" spans="1:13" ht="12.75">
      <c r="A43" s="23" t="s">
        <v>219</v>
      </c>
      <c r="B43" s="252"/>
      <c r="C43" s="252"/>
      <c r="D43" s="252"/>
      <c r="E43" s="252"/>
      <c r="F43" s="252"/>
      <c r="G43" s="252"/>
      <c r="H43" s="252"/>
      <c r="I43" s="283"/>
      <c r="J43" s="252"/>
      <c r="K43" s="252"/>
      <c r="L43" s="252"/>
      <c r="M43" s="252"/>
    </row>
    <row r="44" spans="1:13" ht="12.75">
      <c r="A44" s="23"/>
      <c r="B44" s="252"/>
      <c r="C44" s="252"/>
      <c r="D44" s="252"/>
      <c r="E44" s="252"/>
      <c r="F44" s="252"/>
      <c r="G44" s="252"/>
      <c r="H44" s="252"/>
      <c r="I44" s="283"/>
      <c r="J44" s="252"/>
      <c r="K44" s="252"/>
      <c r="L44" s="252"/>
      <c r="M44" s="252"/>
    </row>
    <row r="45" spans="1:13" ht="12.75">
      <c r="A45" s="264" t="s">
        <v>275</v>
      </c>
      <c r="B45" s="252"/>
      <c r="C45" s="252"/>
      <c r="D45" s="252"/>
      <c r="E45" s="252"/>
      <c r="F45" s="252"/>
      <c r="G45" s="252"/>
      <c r="H45" s="252"/>
      <c r="I45" s="284"/>
      <c r="J45" s="252"/>
      <c r="K45" s="252"/>
      <c r="L45" s="252"/>
      <c r="M45" s="252"/>
    </row>
    <row r="46" spans="1:13" ht="12.75">
      <c r="A46" s="23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</row>
    <row r="47" spans="1:13" ht="12.75">
      <c r="A47" s="23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</row>
    <row r="48" spans="1:13" ht="12.75">
      <c r="A48" s="23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</row>
    <row r="49" spans="1:13" ht="12.75">
      <c r="A49" s="23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</row>
    <row r="50" spans="1:13" ht="12.75">
      <c r="A50" s="23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</row>
    <row r="51" spans="1:13" ht="12.75">
      <c r="A51" s="23"/>
      <c r="B51" s="252"/>
      <c r="C51" s="252"/>
      <c r="D51" s="252"/>
      <c r="E51" s="252"/>
      <c r="F51" s="282"/>
      <c r="G51" s="252"/>
      <c r="H51" s="252"/>
      <c r="I51" s="252"/>
      <c r="J51" s="252"/>
      <c r="K51" s="252"/>
      <c r="L51" s="252"/>
      <c r="M51" s="252"/>
    </row>
    <row r="52" spans="1:13" ht="12.75">
      <c r="A52" s="23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</row>
    <row r="53" spans="1:13" ht="12.75">
      <c r="A53" s="23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</row>
    <row r="54" spans="1:13" ht="12.75">
      <c r="A54" s="23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</row>
    <row r="55" spans="1:13" ht="12.75">
      <c r="A55" s="23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</row>
    <row r="56" spans="1:13" ht="12.75">
      <c r="A56" s="23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</row>
    <row r="57" spans="1:13" ht="12.75">
      <c r="A57" s="23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</row>
    <row r="58" spans="1:13" ht="12.75">
      <c r="A58" s="23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</row>
    <row r="59" spans="1:13" ht="12.75">
      <c r="A59" s="23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</row>
    <row r="60" spans="1:13" ht="12.75">
      <c r="A60" s="23"/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</row>
    <row r="61" spans="1:13" ht="12.75">
      <c r="A61" s="23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</row>
    <row r="62" spans="1:13" ht="12.75">
      <c r="A62" s="23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</row>
    <row r="63" spans="1:13" ht="12.75">
      <c r="A63" s="23"/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</row>
    <row r="64" spans="1:13" ht="12.75">
      <c r="A64" s="23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</row>
    <row r="65" spans="1:13" ht="12.75">
      <c r="A65" s="23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</row>
    <row r="66" spans="1:13" ht="12.75">
      <c r="A66" s="23"/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</row>
    <row r="67" spans="1:13" ht="12.75">
      <c r="A67" s="23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</row>
    <row r="68" spans="1:13" ht="12.75">
      <c r="A68" s="23"/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>
      <c r="A69" s="23"/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3"/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</row>
    <row r="71" spans="1:13" ht="12.75">
      <c r="A71" s="23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</row>
    <row r="72" spans="1:13" ht="12.75">
      <c r="A72" s="23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</row>
    <row r="73" spans="1:13" ht="12.75">
      <c r="A73" s="23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</row>
    <row r="74" spans="1:13" ht="12.75">
      <c r="A74" s="23"/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</row>
    <row r="75" spans="2:13" ht="12.75"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</row>
    <row r="76" spans="2:13" ht="12.75"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2:13" ht="12.75"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</row>
    <row r="78" spans="2:13" ht="12.75"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2:13" ht="12.75"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</row>
    <row r="80" spans="2:13" ht="12.75"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</row>
    <row r="81" spans="2:13" ht="12.75"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</row>
    <row r="82" spans="2:13" ht="12.75"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</row>
    <row r="83" spans="2:13" ht="12.75"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</row>
    <row r="84" spans="2:13" ht="12.75"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</row>
    <row r="85" spans="2:13" ht="12.75"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</row>
    <row r="86" spans="2:13" ht="12.75"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</row>
    <row r="87" spans="2:13" ht="12.75"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</row>
    <row r="88" spans="2:13" ht="12.75"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</row>
    <row r="89" spans="2:13" ht="12.75"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</row>
    <row r="90" spans="2:13" ht="12.75"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</row>
    <row r="91" spans="2:13" ht="12.75"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</row>
    <row r="92" spans="2:13" ht="12.75"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</row>
    <row r="93" spans="2:13" ht="12.75"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</row>
    <row r="94" spans="2:13" ht="12.75"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</row>
    <row r="95" spans="2:13" ht="12.75"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</row>
    <row r="96" spans="2:13" ht="12.75"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</row>
    <row r="97" spans="2:13" ht="12.75"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</row>
    <row r="98" spans="2:13" ht="12.75"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</row>
    <row r="99" spans="2:13" ht="12.75"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</row>
    <row r="100" spans="2:13" ht="12.75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</row>
    <row r="101" spans="2:13" ht="12.75"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</row>
    <row r="102" spans="2:13" ht="12.75"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</row>
    <row r="103" spans="2:13" ht="12.75"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</row>
    <row r="104" spans="2:13" ht="12.75"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</row>
    <row r="105" spans="2:13" ht="12.75"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</row>
    <row r="106" spans="2:13" ht="12.75"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</row>
    <row r="107" spans="2:13" ht="12.75"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</row>
    <row r="108" spans="2:13" ht="12.75"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</row>
    <row r="109" spans="2:13" ht="12.75"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</row>
  </sheetData>
  <sheetProtection password="CAF5" sheet="1"/>
  <mergeCells count="14">
    <mergeCell ref="K6:K9"/>
    <mergeCell ref="G6:G9"/>
    <mergeCell ref="H6:H9"/>
    <mergeCell ref="I6:I9"/>
    <mergeCell ref="L6:L9"/>
    <mergeCell ref="M6:M9"/>
    <mergeCell ref="D5:D9"/>
    <mergeCell ref="C5:C9"/>
    <mergeCell ref="B5:B9"/>
    <mergeCell ref="A5:A9"/>
    <mergeCell ref="G5:M5"/>
    <mergeCell ref="J6:J9"/>
    <mergeCell ref="E5:E9"/>
    <mergeCell ref="F5:F9"/>
  </mergeCells>
  <printOptions horizontalCentered="1"/>
  <pageMargins left="0.61" right="0.75" top="0.83" bottom="1" header="0.67" footer="0.5"/>
  <pageSetup fitToHeight="1" fitToWidth="1" horizontalDpi="600" verticalDpi="600" orientation="landscape" scale="64" r:id="rId1"/>
  <headerFooter scaleWithDoc="0" alignWithMargins="0">
    <oddHeader>&amp;R
</oddHeader>
    <oddFooter>&amp;L&amp;"Arial,Italic"MSDE - LFRO   10 / 2011&amp;C- 17 -&amp;R&amp;"Arial,Italic"Selected Financial Data-Part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57421875" style="24" customWidth="1"/>
    <col min="2" max="2" width="14.7109375" style="24" customWidth="1"/>
    <col min="3" max="3" width="13.57421875" style="24" customWidth="1"/>
    <col min="4" max="4" width="15.28125" style="210" customWidth="1"/>
    <col min="5" max="5" width="17.421875" style="24" customWidth="1"/>
    <col min="6" max="6" width="15.28125" style="24" customWidth="1"/>
    <col min="7" max="7" width="16.7109375" style="24" customWidth="1"/>
    <col min="8" max="8" width="15.421875" style="24" customWidth="1"/>
    <col min="9" max="9" width="17.8515625" style="24" customWidth="1"/>
    <col min="10" max="11" width="11.421875" style="24" customWidth="1"/>
    <col min="12" max="12" width="14.57421875" style="24" customWidth="1"/>
    <col min="13" max="16384" width="11.421875" style="24" customWidth="1"/>
  </cols>
  <sheetData>
    <row r="1" spans="1:13" ht="12.75">
      <c r="A1" s="22" t="s">
        <v>99</v>
      </c>
      <c r="B1" s="22"/>
      <c r="C1" s="22"/>
      <c r="D1" s="209"/>
      <c r="E1" s="22"/>
      <c r="F1" s="22"/>
      <c r="G1" s="22"/>
      <c r="H1" s="22"/>
      <c r="I1" s="22"/>
      <c r="J1" s="23"/>
      <c r="K1" s="23"/>
      <c r="L1" s="23"/>
      <c r="M1" s="23"/>
    </row>
    <row r="2" spans="1:13" ht="12.75">
      <c r="A2" s="22"/>
      <c r="B2" s="22"/>
      <c r="C2" s="22"/>
      <c r="D2" s="209"/>
      <c r="E2" s="22"/>
      <c r="F2" s="22"/>
      <c r="G2" s="22"/>
      <c r="H2" s="22"/>
      <c r="I2" s="22"/>
      <c r="J2" s="23"/>
      <c r="K2" s="23"/>
      <c r="L2" s="23"/>
      <c r="M2" s="23"/>
    </row>
    <row r="3" spans="1:13" ht="12.75">
      <c r="A3" s="288" t="s">
        <v>277</v>
      </c>
      <c r="B3" s="22"/>
      <c r="C3" s="22"/>
      <c r="D3" s="209"/>
      <c r="E3" s="22"/>
      <c r="F3" s="22"/>
      <c r="G3" s="22"/>
      <c r="H3" s="22"/>
      <c r="I3" s="22"/>
      <c r="J3" s="23"/>
      <c r="K3" s="23"/>
      <c r="L3" s="23"/>
      <c r="M3" s="23"/>
    </row>
    <row r="4" spans="1:13" ht="12.75">
      <c r="A4" s="22"/>
      <c r="B4" s="22"/>
      <c r="C4" s="22"/>
      <c r="D4" s="209"/>
      <c r="E4" s="22"/>
      <c r="F4" s="22"/>
      <c r="G4" s="22"/>
      <c r="H4" s="22"/>
      <c r="I4" s="22"/>
      <c r="J4" s="23"/>
      <c r="K4" s="23"/>
      <c r="L4" s="23"/>
      <c r="M4" s="23"/>
    </row>
    <row r="5" spans="1:13" ht="13.5" thickBot="1">
      <c r="A5" s="48"/>
      <c r="B5" s="48"/>
      <c r="C5" s="48"/>
      <c r="D5" s="174"/>
      <c r="E5" s="48"/>
      <c r="F5" s="48"/>
      <c r="G5" s="48"/>
      <c r="H5" s="48"/>
      <c r="I5" s="48"/>
      <c r="J5" s="23"/>
      <c r="K5" s="23"/>
      <c r="L5" s="23"/>
      <c r="M5" s="23"/>
    </row>
    <row r="6" spans="1:13" ht="13.5" customHeight="1" thickTop="1">
      <c r="A6" s="23"/>
      <c r="B6" s="490" t="s">
        <v>278</v>
      </c>
      <c r="C6" s="495" t="s">
        <v>226</v>
      </c>
      <c r="D6" s="496" t="s">
        <v>180</v>
      </c>
      <c r="E6" s="494" t="s">
        <v>179</v>
      </c>
      <c r="F6" s="490" t="s">
        <v>279</v>
      </c>
      <c r="G6" s="494" t="s">
        <v>181</v>
      </c>
      <c r="H6" s="494" t="s">
        <v>206</v>
      </c>
      <c r="I6" s="494" t="s">
        <v>182</v>
      </c>
      <c r="J6" s="23"/>
      <c r="K6" s="23"/>
      <c r="L6" s="23"/>
      <c r="M6" s="23"/>
    </row>
    <row r="7" spans="1:13" ht="12.75">
      <c r="A7" s="34" t="s">
        <v>80</v>
      </c>
      <c r="B7" s="491"/>
      <c r="C7" s="493"/>
      <c r="D7" s="406"/>
      <c r="E7" s="493"/>
      <c r="F7" s="493"/>
      <c r="G7" s="493"/>
      <c r="H7" s="437"/>
      <c r="I7" s="493"/>
      <c r="J7" s="23"/>
      <c r="K7" s="23"/>
      <c r="L7" s="23"/>
      <c r="M7" s="23"/>
    </row>
    <row r="8" spans="1:13" ht="12.75">
      <c r="A8" s="32" t="s">
        <v>33</v>
      </c>
      <c r="B8" s="491"/>
      <c r="C8" s="437"/>
      <c r="D8" s="497"/>
      <c r="E8" s="437"/>
      <c r="F8" s="493"/>
      <c r="G8" s="437"/>
      <c r="H8" s="437"/>
      <c r="I8" s="493"/>
      <c r="J8" s="23"/>
      <c r="K8" s="23"/>
      <c r="L8" s="23"/>
      <c r="M8" s="23"/>
    </row>
    <row r="9" spans="1:13" ht="13.5" thickBot="1">
      <c r="A9" s="53" t="s">
        <v>137</v>
      </c>
      <c r="B9" s="492"/>
      <c r="C9" s="50" t="s">
        <v>100</v>
      </c>
      <c r="D9" s="178" t="s">
        <v>101</v>
      </c>
      <c r="E9" s="67" t="s">
        <v>205</v>
      </c>
      <c r="F9" s="428"/>
      <c r="G9" s="67" t="s">
        <v>227</v>
      </c>
      <c r="H9" s="428"/>
      <c r="I9" s="428"/>
      <c r="J9" s="23"/>
      <c r="K9" s="23"/>
      <c r="L9" s="23"/>
      <c r="M9" s="23"/>
    </row>
    <row r="10" spans="1:13" ht="12.75">
      <c r="A10" s="32" t="s">
        <v>0</v>
      </c>
      <c r="B10" s="51">
        <f>SUM(B12:B39)</f>
        <v>274794</v>
      </c>
      <c r="C10" s="52">
        <f>SUM(C12:C39)</f>
        <v>892256118</v>
      </c>
      <c r="D10" s="212">
        <v>506437.80322829727</v>
      </c>
      <c r="E10" s="52">
        <f>SUM(E12:E39)</f>
        <v>1112884403</v>
      </c>
      <c r="F10" s="52">
        <f>SUM(F12:F39)-1</f>
        <v>892256070.7012126</v>
      </c>
      <c r="G10" s="52">
        <f>SUM(G12:G39)+1</f>
        <v>713804895.4000001</v>
      </c>
      <c r="H10" s="52">
        <f>SUM(H12:H39)</f>
        <v>47926846.33872792</v>
      </c>
      <c r="I10" s="52">
        <f>SUM(I12:I39)-1</f>
        <v>940182917.0399406</v>
      </c>
      <c r="J10" s="23"/>
      <c r="K10" s="23"/>
      <c r="L10" s="23"/>
      <c r="M10" s="23"/>
    </row>
    <row r="11" spans="1:13" ht="12.75">
      <c r="A11" s="23"/>
      <c r="B11" s="25"/>
      <c r="C11" s="25"/>
      <c r="D11" s="206"/>
      <c r="E11" s="25"/>
      <c r="F11" s="25"/>
      <c r="G11" s="25"/>
      <c r="H11" s="25"/>
      <c r="I11" s="25"/>
      <c r="J11" s="23"/>
      <c r="K11" s="23"/>
      <c r="L11" s="23"/>
      <c r="M11" s="23"/>
    </row>
    <row r="12" spans="1:13" ht="12.75">
      <c r="A12" s="23" t="s">
        <v>1</v>
      </c>
      <c r="B12" s="25">
        <v>4225</v>
      </c>
      <c r="C12" s="25">
        <f>+B12*3247</f>
        <v>13718575</v>
      </c>
      <c r="D12" s="224">
        <v>253631.67248122877</v>
      </c>
      <c r="E12" s="25">
        <v>27392473</v>
      </c>
      <c r="F12" s="25">
        <f>E12*0.8017509</f>
        <v>21961939.8809757</v>
      </c>
      <c r="G12" s="25">
        <f>C12*0.8</f>
        <v>10974860</v>
      </c>
      <c r="H12" s="51">
        <f>IF(F12&gt;G12,0,(G12-F12))</f>
        <v>0</v>
      </c>
      <c r="I12" s="25">
        <f>MAX(F12,G12)</f>
        <v>21961939.8809757</v>
      </c>
      <c r="J12" s="29"/>
      <c r="K12" s="23"/>
      <c r="L12" s="25"/>
      <c r="M12" s="23"/>
    </row>
    <row r="13" spans="1:13" ht="12.75">
      <c r="A13" s="223" t="s">
        <v>2</v>
      </c>
      <c r="B13" s="25">
        <v>16004</v>
      </c>
      <c r="C13" s="25">
        <f>+B13*3247</f>
        <v>51964988</v>
      </c>
      <c r="D13" s="224">
        <v>637553.1523373333</v>
      </c>
      <c r="E13" s="25">
        <v>41278208</v>
      </c>
      <c r="F13" s="25">
        <f>E13*0.8017509</f>
        <v>33094840.4143872</v>
      </c>
      <c r="G13" s="25">
        <f>C13*0.8</f>
        <v>41571990.400000006</v>
      </c>
      <c r="H13" s="51">
        <f>IF(F13&gt;G13,0,(G13-F13))</f>
        <v>8477149.985612806</v>
      </c>
      <c r="I13" s="25">
        <f>MAX(F13,G13)</f>
        <v>41571990.400000006</v>
      </c>
      <c r="J13" s="23"/>
      <c r="K13" s="23"/>
      <c r="L13" s="25"/>
      <c r="M13" s="23"/>
    </row>
    <row r="14" spans="1:13" ht="12.75">
      <c r="A14" s="23" t="s">
        <v>3</v>
      </c>
      <c r="B14" s="25">
        <v>55595</v>
      </c>
      <c r="C14" s="25">
        <f>+B14*3247</f>
        <v>180516965</v>
      </c>
      <c r="D14" s="224">
        <v>271977.84046692605</v>
      </c>
      <c r="E14" s="25">
        <v>336132495</v>
      </c>
      <c r="F14" s="25">
        <f>E14*0.8017509</f>
        <v>269494530.38549554</v>
      </c>
      <c r="G14" s="25">
        <f>C14*0.8</f>
        <v>144413572</v>
      </c>
      <c r="H14" s="51">
        <f>IF(F14&gt;G14,0,(G14-F14))</f>
        <v>0</v>
      </c>
      <c r="I14" s="25">
        <f>MAX(F14,G14)</f>
        <v>269494530.38549554</v>
      </c>
      <c r="J14" s="23"/>
      <c r="K14" s="23"/>
      <c r="L14" s="25"/>
      <c r="M14" s="23"/>
    </row>
    <row r="15" spans="1:13" ht="12.75">
      <c r="A15" s="23" t="s">
        <v>4</v>
      </c>
      <c r="B15" s="25">
        <v>36118</v>
      </c>
      <c r="C15" s="25">
        <f>+B15*3247</f>
        <v>117275146</v>
      </c>
      <c r="D15" s="224">
        <v>510689.6648496766</v>
      </c>
      <c r="E15" s="25">
        <v>116298714</v>
      </c>
      <c r="F15" s="25">
        <f>E15*0.8017509</f>
        <v>93242598.61834261</v>
      </c>
      <c r="G15" s="25">
        <f>C15*0.8</f>
        <v>93820116.80000001</v>
      </c>
      <c r="H15" s="51">
        <f>IF(F15&gt;G15,0,(G15-F15))</f>
        <v>577518.1816574037</v>
      </c>
      <c r="I15" s="25">
        <f>MAX(F15,G15)</f>
        <v>93820116.80000001</v>
      </c>
      <c r="J15" s="23"/>
      <c r="K15" s="23"/>
      <c r="L15" s="25"/>
      <c r="M15" s="23"/>
    </row>
    <row r="16" spans="1:13" ht="12.75">
      <c r="A16" s="23" t="s">
        <v>5</v>
      </c>
      <c r="B16" s="25">
        <v>2588</v>
      </c>
      <c r="C16" s="25">
        <f>+B16*3247</f>
        <v>8403236</v>
      </c>
      <c r="D16" s="224">
        <v>430557.92614821374</v>
      </c>
      <c r="E16" s="25">
        <v>9884192</v>
      </c>
      <c r="F16" s="25">
        <f>E16*0.8017509</f>
        <v>7924659.831772801</v>
      </c>
      <c r="G16" s="25">
        <f>C16*0.8</f>
        <v>6722588.800000001</v>
      </c>
      <c r="H16" s="51">
        <f>IF(F16&gt;G16,0,(G16-F16))</f>
        <v>0</v>
      </c>
      <c r="I16" s="25">
        <f>MAX(F16,G16)</f>
        <v>7924659.831772801</v>
      </c>
      <c r="J16" s="23"/>
      <c r="K16" s="23"/>
      <c r="L16" s="25"/>
      <c r="M16" s="23"/>
    </row>
    <row r="17" spans="1:13" ht="12.75">
      <c r="A17" s="23"/>
      <c r="B17" s="25"/>
      <c r="C17" s="25"/>
      <c r="E17" s="25"/>
      <c r="F17" s="25"/>
      <c r="G17" s="25"/>
      <c r="H17" s="25"/>
      <c r="I17" s="25"/>
      <c r="J17" s="23"/>
      <c r="K17" s="23"/>
      <c r="L17" s="25"/>
      <c r="M17" s="23"/>
    </row>
    <row r="18" spans="1:13" ht="12.75">
      <c r="A18" s="23" t="s">
        <v>6</v>
      </c>
      <c r="B18" s="25">
        <v>2427</v>
      </c>
      <c r="C18" s="25">
        <f>+B18*3247</f>
        <v>7880469</v>
      </c>
      <c r="D18" s="206">
        <v>306091.5018084904</v>
      </c>
      <c r="E18" s="25">
        <v>13038463</v>
      </c>
      <c r="F18" s="25">
        <f>E18*0.8017509</f>
        <v>10453599.4448667</v>
      </c>
      <c r="G18" s="25">
        <f>C18*0.8</f>
        <v>6304375.2</v>
      </c>
      <c r="H18" s="51">
        <f>IF(F18&gt;G18,0,(G18-F18))</f>
        <v>0</v>
      </c>
      <c r="I18" s="25">
        <f>MAX(F18,G18)</f>
        <v>10453599.4448667</v>
      </c>
      <c r="J18" s="23"/>
      <c r="K18" s="23"/>
      <c r="L18" s="25"/>
      <c r="M18" s="23"/>
    </row>
    <row r="19" spans="1:13" ht="12.75">
      <c r="A19" s="23" t="s">
        <v>7</v>
      </c>
      <c r="B19" s="25">
        <v>3381</v>
      </c>
      <c r="C19" s="25">
        <f>+B19*3247</f>
        <v>10978107</v>
      </c>
      <c r="D19" s="206">
        <v>430313.52183433773</v>
      </c>
      <c r="E19" s="25">
        <v>12920172</v>
      </c>
      <c r="F19" s="25">
        <f>E19*0.8017509</f>
        <v>10358759.5291548</v>
      </c>
      <c r="G19" s="25">
        <f>C19*0.8</f>
        <v>8782485.6</v>
      </c>
      <c r="H19" s="51">
        <f>IF(F19&gt;G19,0,(G19-F19))</f>
        <v>0</v>
      </c>
      <c r="I19" s="25">
        <f>MAX(F19,G19)</f>
        <v>10358759.5291548</v>
      </c>
      <c r="J19" s="23"/>
      <c r="K19" s="23"/>
      <c r="L19" s="25"/>
      <c r="M19" s="23"/>
    </row>
    <row r="20" spans="1:13" ht="12.75">
      <c r="A20" s="23" t="s">
        <v>8</v>
      </c>
      <c r="B20" s="289">
        <v>4760</v>
      </c>
      <c r="C20" s="25">
        <f>+B20*3247</f>
        <v>15455720</v>
      </c>
      <c r="D20" s="206">
        <v>380218.4973765037</v>
      </c>
      <c r="E20" s="25">
        <v>20586516</v>
      </c>
      <c r="F20" s="25">
        <f>E20*0.8017509</f>
        <v>16505257.7308644</v>
      </c>
      <c r="G20" s="25">
        <f>C20*0.8</f>
        <v>12364576</v>
      </c>
      <c r="H20" s="51">
        <f>IF(F20&gt;G20,0,(G20-F20))</f>
        <v>0</v>
      </c>
      <c r="I20" s="25">
        <f>MAX(F20,G20)</f>
        <v>16505257.7308644</v>
      </c>
      <c r="J20" s="23"/>
      <c r="K20" s="23"/>
      <c r="L20" s="25"/>
      <c r="M20" s="23"/>
    </row>
    <row r="21" spans="1:13" ht="12.75">
      <c r="A21" s="23" t="s">
        <v>9</v>
      </c>
      <c r="B21" s="25">
        <v>6310</v>
      </c>
      <c r="C21" s="25">
        <f>+B21*3247</f>
        <v>20488570</v>
      </c>
      <c r="D21" s="206">
        <v>393970.5542429574</v>
      </c>
      <c r="E21" s="25">
        <v>26337448</v>
      </c>
      <c r="F21" s="25">
        <f>E21*0.8017509</f>
        <v>21116072.637703203</v>
      </c>
      <c r="G21" s="25">
        <f>C21*0.8</f>
        <v>16390856</v>
      </c>
      <c r="H21" s="51">
        <f>IF(F21&gt;G21,0,(G21-F21))</f>
        <v>0</v>
      </c>
      <c r="I21" s="25">
        <f>MAX(F21,G21)</f>
        <v>21116072.637703203</v>
      </c>
      <c r="J21" s="23"/>
      <c r="K21" s="23"/>
      <c r="L21" s="25"/>
      <c r="M21" s="23"/>
    </row>
    <row r="22" spans="1:13" ht="12.75">
      <c r="A22" s="23" t="s">
        <v>10</v>
      </c>
      <c r="B22" s="25">
        <v>2137</v>
      </c>
      <c r="C22" s="25">
        <f>+B22*3247</f>
        <v>6938839</v>
      </c>
      <c r="D22" s="206">
        <v>404611.19666820916</v>
      </c>
      <c r="E22" s="25">
        <v>8685112</v>
      </c>
      <c r="F22" s="25">
        <f>E22*0.8017509</f>
        <v>6963296.362600801</v>
      </c>
      <c r="G22" s="25">
        <f>C22*0.8</f>
        <v>5551071.2</v>
      </c>
      <c r="H22" s="51">
        <f>IF(F22&gt;G22,0,(G22-F22))</f>
        <v>0</v>
      </c>
      <c r="I22" s="25">
        <f>MAX(F22,G22)</f>
        <v>6963296.362600801</v>
      </c>
      <c r="J22" s="23"/>
      <c r="K22" s="23"/>
      <c r="L22" s="25"/>
      <c r="M22" s="23"/>
    </row>
    <row r="23" spans="1:13" ht="12.75">
      <c r="A23" s="23"/>
      <c r="B23" s="25"/>
      <c r="C23" s="25"/>
      <c r="D23" s="206"/>
      <c r="E23" s="25"/>
      <c r="F23" s="25"/>
      <c r="G23" s="25"/>
      <c r="H23" s="25"/>
      <c r="I23" s="25"/>
      <c r="J23" s="23"/>
      <c r="K23" s="23"/>
      <c r="L23" s="25"/>
      <c r="M23" s="23"/>
    </row>
    <row r="24" spans="1:13" ht="12.75">
      <c r="A24" s="23" t="s">
        <v>11</v>
      </c>
      <c r="B24" s="25">
        <v>6948</v>
      </c>
      <c r="C24" s="25">
        <f>+B24*3247</f>
        <v>22560156</v>
      </c>
      <c r="D24" s="206">
        <v>440905.1857555834</v>
      </c>
      <c r="E24" s="25">
        <v>25913337</v>
      </c>
      <c r="F24" s="25">
        <f>E24*0.8017509</f>
        <v>20776041.261753302</v>
      </c>
      <c r="G24" s="25">
        <f>C24*0.8</f>
        <v>18048124.8</v>
      </c>
      <c r="H24" s="51">
        <f>IF(F24&gt;G24,0,(G24-F24))</f>
        <v>0</v>
      </c>
      <c r="I24" s="25">
        <f>MAX(F24,G24)</f>
        <v>20776041.261753302</v>
      </c>
      <c r="J24" s="23"/>
      <c r="K24" s="23"/>
      <c r="L24" s="25"/>
      <c r="M24" s="23"/>
    </row>
    <row r="25" spans="1:13" ht="12.75">
      <c r="A25" s="23" t="s">
        <v>12</v>
      </c>
      <c r="B25" s="25">
        <v>1852</v>
      </c>
      <c r="C25" s="25">
        <f>+B25*3247</f>
        <v>6013444</v>
      </c>
      <c r="D25" s="206">
        <v>503445.5200139836</v>
      </c>
      <c r="E25" s="25">
        <v>6049182</v>
      </c>
      <c r="F25" s="25">
        <f>E25*0.8017509</f>
        <v>4849937.112763801</v>
      </c>
      <c r="G25" s="25">
        <f>C25*0.8</f>
        <v>4810755.2</v>
      </c>
      <c r="H25" s="51">
        <f>IF(F25&gt;G25,0,(G25-F25))</f>
        <v>0</v>
      </c>
      <c r="I25" s="25">
        <f>MAX(F25,G25)</f>
        <v>4849937.112763801</v>
      </c>
      <c r="J25" s="23"/>
      <c r="K25" s="23"/>
      <c r="L25" s="25"/>
      <c r="M25" s="23"/>
    </row>
    <row r="26" spans="1:13" ht="12.75">
      <c r="A26" s="23" t="s">
        <v>13</v>
      </c>
      <c r="B26" s="25">
        <v>8413</v>
      </c>
      <c r="C26" s="25">
        <f>+B26*3247</f>
        <v>27317011</v>
      </c>
      <c r="D26" s="206">
        <v>415951.5941040225</v>
      </c>
      <c r="E26" s="25">
        <v>33259539</v>
      </c>
      <c r="F26" s="25">
        <f>E26*0.8017509</f>
        <v>26665865.3268351</v>
      </c>
      <c r="G26" s="25">
        <f>C26*0.8</f>
        <v>21853608.8</v>
      </c>
      <c r="H26" s="51">
        <f>IF(F26&gt;G26,0,(G26-F26))</f>
        <v>0</v>
      </c>
      <c r="I26" s="25">
        <f>MAX(F26,G26)</f>
        <v>26665865.3268351</v>
      </c>
      <c r="J26" s="23"/>
      <c r="K26" s="23"/>
      <c r="L26" s="25"/>
      <c r="M26" s="23"/>
    </row>
    <row r="27" spans="1:13" ht="12.75">
      <c r="A27" s="23" t="s">
        <v>14</v>
      </c>
      <c r="B27" s="25">
        <v>6231</v>
      </c>
      <c r="C27" s="25">
        <f>+B27*3247</f>
        <v>20232057</v>
      </c>
      <c r="D27" s="206">
        <v>563647.1990743822</v>
      </c>
      <c r="E27" s="25">
        <v>18178545</v>
      </c>
      <c r="F27" s="25">
        <f>E27*0.8017509</f>
        <v>14574664.8144405</v>
      </c>
      <c r="G27" s="25">
        <f>C27*0.8</f>
        <v>16185645.600000001</v>
      </c>
      <c r="H27" s="51">
        <f>IF(F27&gt;G27,0,(G27-F27))</f>
        <v>1610980.7855595015</v>
      </c>
      <c r="I27" s="25">
        <f>MAX(F27,G27)</f>
        <v>16185645.600000001</v>
      </c>
      <c r="J27" s="23"/>
      <c r="K27" s="23"/>
      <c r="L27" s="25"/>
      <c r="M27" s="23"/>
    </row>
    <row r="28" spans="1:13" ht="12.75">
      <c r="A28" s="23" t="s">
        <v>15</v>
      </c>
      <c r="B28" s="25">
        <v>839</v>
      </c>
      <c r="C28" s="25">
        <f>+B28*3247</f>
        <v>2724233</v>
      </c>
      <c r="D28" s="206">
        <v>741355.0716001922</v>
      </c>
      <c r="E28" s="25">
        <v>1860991</v>
      </c>
      <c r="F28" s="25">
        <f>E28*0.8017509</f>
        <v>1492051.2091419</v>
      </c>
      <c r="G28" s="25">
        <f>C28*0.8</f>
        <v>2179386.4</v>
      </c>
      <c r="H28" s="51">
        <f>IF(F28&gt;G28,0,(G28-F28))</f>
        <v>687335.1908580998</v>
      </c>
      <c r="I28" s="25">
        <f>MAX(F28,G28)</f>
        <v>2179386.4</v>
      </c>
      <c r="J28" s="23"/>
      <c r="K28" s="23"/>
      <c r="L28" s="25"/>
      <c r="M28" s="23"/>
    </row>
    <row r="29" spans="1:13" ht="12.75">
      <c r="A29" s="23"/>
      <c r="B29" s="25"/>
      <c r="C29" s="25"/>
      <c r="D29" s="206"/>
      <c r="E29" s="25"/>
      <c r="F29" s="25"/>
      <c r="G29" s="25"/>
      <c r="H29" s="25"/>
      <c r="I29" s="25"/>
      <c r="J29" s="23"/>
      <c r="K29" s="23"/>
      <c r="L29" s="25"/>
      <c r="M29" s="23"/>
    </row>
    <row r="30" spans="1:13" ht="12.75">
      <c r="A30" s="23" t="s">
        <v>16</v>
      </c>
      <c r="B30" s="25">
        <v>35031</v>
      </c>
      <c r="C30" s="25">
        <f aca="true" t="shared" si="0" ref="C30:C39">+B30*3247</f>
        <v>113745657</v>
      </c>
      <c r="D30" s="206">
        <v>764044.3267264838</v>
      </c>
      <c r="E30" s="25">
        <v>75395032</v>
      </c>
      <c r="F30" s="25">
        <f>E30*0.8017509</f>
        <v>60448034.761528805</v>
      </c>
      <c r="G30" s="25">
        <f>C30*0.8</f>
        <v>90996525.60000001</v>
      </c>
      <c r="H30" s="51">
        <f>IF(F30&gt;G30,0,(G30-F30))</f>
        <v>30548490.838471204</v>
      </c>
      <c r="I30" s="25">
        <f>MAX(F30,G30)</f>
        <v>90996525.60000001</v>
      </c>
      <c r="J30" s="23"/>
      <c r="K30" s="23"/>
      <c r="L30" s="25"/>
      <c r="M30" s="23"/>
    </row>
    <row r="31" spans="1:13" ht="12.75">
      <c r="A31" s="23" t="s">
        <v>17</v>
      </c>
      <c r="B31" s="25">
        <v>55970</v>
      </c>
      <c r="C31" s="25">
        <f t="shared" si="0"/>
        <v>181734590</v>
      </c>
      <c r="D31" s="206">
        <v>396068.72956854646</v>
      </c>
      <c r="E31" s="25">
        <v>232376938</v>
      </c>
      <c r="F31" s="25">
        <f>E31*0.8017509</f>
        <v>186308419.1807442</v>
      </c>
      <c r="G31" s="25">
        <f>C31*0.8</f>
        <v>145387672</v>
      </c>
      <c r="H31" s="51">
        <f>IF(F31&gt;G31,0,(G31-F31))</f>
        <v>0</v>
      </c>
      <c r="I31" s="25">
        <f>MAX(F31,G31)</f>
        <v>186308419.1807442</v>
      </c>
      <c r="J31" s="23"/>
      <c r="K31" s="23"/>
      <c r="L31" s="25"/>
      <c r="M31" s="23"/>
    </row>
    <row r="32" spans="1:13" ht="12.75">
      <c r="A32" s="23" t="s">
        <v>18</v>
      </c>
      <c r="B32" s="25">
        <v>1244</v>
      </c>
      <c r="C32" s="25">
        <f t="shared" si="0"/>
        <v>4039268</v>
      </c>
      <c r="D32" s="206">
        <v>587773.9524427151</v>
      </c>
      <c r="E32" s="25">
        <v>3480315</v>
      </c>
      <c r="F32" s="25">
        <f>E32*0.8017509</f>
        <v>2790345.6835335</v>
      </c>
      <c r="G32" s="25">
        <f>C32*0.8</f>
        <v>3231414.4000000004</v>
      </c>
      <c r="H32" s="51">
        <f>IF(F32&gt;G32,0,(G32-F32))</f>
        <v>441068.7164665004</v>
      </c>
      <c r="I32" s="25">
        <f>MAX(F32,G32)</f>
        <v>3231414.4000000004</v>
      </c>
      <c r="J32" s="23"/>
      <c r="K32" s="23"/>
      <c r="L32" s="25"/>
      <c r="M32" s="23"/>
    </row>
    <row r="33" spans="1:13" ht="12.75">
      <c r="A33" s="23" t="s">
        <v>19</v>
      </c>
      <c r="B33" s="25">
        <v>3861</v>
      </c>
      <c r="C33" s="25">
        <f t="shared" si="0"/>
        <v>12536667</v>
      </c>
      <c r="D33" s="206">
        <v>413281.731814911</v>
      </c>
      <c r="E33" s="25">
        <v>15362499</v>
      </c>
      <c r="F33" s="25">
        <f>E33*0.8017509</f>
        <v>12316897.399499102</v>
      </c>
      <c r="G33" s="25">
        <f>C33*0.8</f>
        <v>10029333.6</v>
      </c>
      <c r="H33" s="51">
        <f>IF(F33&gt;G33,0,(G33-F33))</f>
        <v>0</v>
      </c>
      <c r="I33" s="25">
        <f>MAX(F33,G33)</f>
        <v>12316897.399499102</v>
      </c>
      <c r="J33" s="23"/>
      <c r="K33" s="23"/>
      <c r="L33" s="25"/>
      <c r="M33" s="23"/>
    </row>
    <row r="34" spans="1:13" ht="12.75">
      <c r="A34" s="23" t="s">
        <v>20</v>
      </c>
      <c r="B34" s="25">
        <v>1634</v>
      </c>
      <c r="C34" s="25">
        <f t="shared" si="0"/>
        <v>5305598</v>
      </c>
      <c r="D34" s="206">
        <v>326279.015843773</v>
      </c>
      <c r="E34" s="25">
        <v>8235149</v>
      </c>
      <c r="F34" s="25">
        <f>E34*0.8017509</f>
        <v>6602538.1223841</v>
      </c>
      <c r="G34" s="25">
        <f>C34*0.8</f>
        <v>4244478.4</v>
      </c>
      <c r="H34" s="51">
        <f>IF(F34&gt;G34,0,(G34-F34))</f>
        <v>0</v>
      </c>
      <c r="I34" s="25">
        <f>MAX(F34,G34)</f>
        <v>6602538.1223841</v>
      </c>
      <c r="J34" s="23"/>
      <c r="K34" s="23"/>
      <c r="L34" s="25"/>
      <c r="M34" s="23"/>
    </row>
    <row r="35" spans="1:13" ht="12.75">
      <c r="A35" s="23"/>
      <c r="B35" s="25"/>
      <c r="C35" s="25"/>
      <c r="D35" s="206"/>
      <c r="E35" s="25"/>
      <c r="F35" s="25"/>
      <c r="G35" s="25"/>
      <c r="H35" s="25"/>
      <c r="I35" s="25"/>
      <c r="J35" s="23"/>
      <c r="K35" s="23"/>
      <c r="L35" s="25"/>
      <c r="M35" s="23"/>
    </row>
    <row r="36" spans="1:13" ht="12.75">
      <c r="A36" s="23" t="s">
        <v>21</v>
      </c>
      <c r="B36" s="25">
        <v>1298</v>
      </c>
      <c r="C36" s="25">
        <f t="shared" si="0"/>
        <v>4214606</v>
      </c>
      <c r="D36" s="206">
        <v>1091275.4780771262</v>
      </c>
      <c r="E36" s="25">
        <v>1955911</v>
      </c>
      <c r="F36" s="25">
        <f>E36*0.8017509</f>
        <v>1568153.4045699001</v>
      </c>
      <c r="G36" s="25">
        <f>C36*0.8</f>
        <v>3371684.8000000003</v>
      </c>
      <c r="H36" s="51">
        <f>IF(F36&gt;G36,0,(G36-F36))</f>
        <v>1803531.3954301002</v>
      </c>
      <c r="I36" s="25">
        <f>MAX(F36,G36)</f>
        <v>3371684.8000000003</v>
      </c>
      <c r="J36" s="23"/>
      <c r="K36" s="23"/>
      <c r="L36" s="25"/>
      <c r="M36" s="23"/>
    </row>
    <row r="37" spans="1:13" ht="12.75">
      <c r="A37" s="23" t="s">
        <v>22</v>
      </c>
      <c r="B37" s="25">
        <v>8642</v>
      </c>
      <c r="C37" s="25">
        <f t="shared" si="0"/>
        <v>28060574</v>
      </c>
      <c r="D37" s="206">
        <v>372184.88500700385</v>
      </c>
      <c r="E37" s="25">
        <v>38182467</v>
      </c>
      <c r="F37" s="25">
        <f>E37*0.8017509</f>
        <v>30612827.281470302</v>
      </c>
      <c r="G37" s="25">
        <f>C37*0.8</f>
        <v>22448459.200000003</v>
      </c>
      <c r="H37" s="51">
        <f>IF(F37&gt;G37,0,(G37-F37))</f>
        <v>0</v>
      </c>
      <c r="I37" s="25">
        <f>MAX(F37,G37)</f>
        <v>30612827.281470302</v>
      </c>
      <c r="J37" s="23"/>
      <c r="K37" s="23"/>
      <c r="L37" s="25"/>
      <c r="M37" s="23"/>
    </row>
    <row r="38" spans="1:13" ht="12.75">
      <c r="A38" s="23" t="s">
        <v>23</v>
      </c>
      <c r="B38" s="25">
        <v>7046</v>
      </c>
      <c r="C38" s="25">
        <f t="shared" si="0"/>
        <v>22878362</v>
      </c>
      <c r="D38" s="206">
        <v>308652.1786912153</v>
      </c>
      <c r="E38" s="25">
        <v>37538952</v>
      </c>
      <c r="F38" s="25">
        <f>E38*0.8017509</f>
        <v>30096888.551056802</v>
      </c>
      <c r="G38" s="25">
        <f>C38*0.8</f>
        <v>18302689.6</v>
      </c>
      <c r="H38" s="51">
        <f>IF(F38&gt;G38,0,(G38-F38))</f>
        <v>0</v>
      </c>
      <c r="I38" s="25">
        <f>MAX(F38,G38)</f>
        <v>30096888.551056802</v>
      </c>
      <c r="J38" s="23"/>
      <c r="K38" s="23"/>
      <c r="L38" s="25"/>
      <c r="M38" s="23"/>
    </row>
    <row r="39" spans="1:13" ht="12.75">
      <c r="A39" s="31" t="s">
        <v>24</v>
      </c>
      <c r="B39" s="28">
        <v>2240</v>
      </c>
      <c r="C39" s="28">
        <f t="shared" si="0"/>
        <v>7273280</v>
      </c>
      <c r="D39" s="207">
        <v>1449182.9909781576</v>
      </c>
      <c r="E39" s="28">
        <v>2541753</v>
      </c>
      <c r="F39" s="28">
        <f>E39*0.8017509</f>
        <v>2037852.7553277002</v>
      </c>
      <c r="G39" s="28">
        <f>C39*0.8</f>
        <v>5818624</v>
      </c>
      <c r="H39" s="141">
        <f>IF(F39&gt;G39,0,(G39-F39))</f>
        <v>3780771.2446723</v>
      </c>
      <c r="I39" s="28">
        <f>MAX(F39,G39)</f>
        <v>5818624</v>
      </c>
      <c r="J39" s="23"/>
      <c r="K39" s="23"/>
      <c r="L39" s="25"/>
      <c r="M39" s="23"/>
    </row>
    <row r="40" spans="1:13" ht="12.75">
      <c r="A40" s="33"/>
      <c r="B40" s="33"/>
      <c r="C40" s="33"/>
      <c r="D40" s="213"/>
      <c r="E40" s="33"/>
      <c r="F40" s="33"/>
      <c r="G40" s="33"/>
      <c r="H40" s="33"/>
      <c r="I40" s="33"/>
      <c r="J40" s="23"/>
      <c r="K40" s="23"/>
      <c r="L40" s="25"/>
      <c r="M40" s="23"/>
    </row>
    <row r="41" spans="1:13" ht="12.75">
      <c r="A41" s="23" t="s">
        <v>98</v>
      </c>
      <c r="B41" s="25"/>
      <c r="C41" s="25"/>
      <c r="D41" s="206"/>
      <c r="E41" s="25"/>
      <c r="F41" s="25"/>
      <c r="G41" s="25"/>
      <c r="H41" s="25"/>
      <c r="I41" s="25"/>
      <c r="J41" s="23"/>
      <c r="K41" s="23"/>
      <c r="L41" s="25"/>
      <c r="M41" s="23"/>
    </row>
    <row r="42" spans="1:13" ht="12.75">
      <c r="A42" s="23"/>
      <c r="B42" s="25"/>
      <c r="C42" s="25"/>
      <c r="D42" s="206"/>
      <c r="E42" s="25"/>
      <c r="F42" s="25"/>
      <c r="G42" s="25"/>
      <c r="H42" s="25"/>
      <c r="I42" s="25"/>
      <c r="J42" s="23"/>
      <c r="K42" s="23"/>
      <c r="L42" s="25"/>
      <c r="M42" s="23"/>
    </row>
    <row r="43" spans="1:13" ht="12.75">
      <c r="A43" s="264" t="s">
        <v>275</v>
      </c>
      <c r="B43" s="25"/>
      <c r="C43" s="25"/>
      <c r="D43" s="206"/>
      <c r="E43" s="25"/>
      <c r="F43" s="25"/>
      <c r="G43" s="25"/>
      <c r="H43" s="25"/>
      <c r="I43" s="25"/>
      <c r="J43" s="23"/>
      <c r="K43" s="23"/>
      <c r="L43" s="25"/>
      <c r="M43" s="23"/>
    </row>
    <row r="44" spans="1:13" ht="12.75">
      <c r="A44" s="23"/>
      <c r="B44" s="25"/>
      <c r="C44" s="25"/>
      <c r="D44" s="206"/>
      <c r="E44" s="25"/>
      <c r="F44" s="25"/>
      <c r="G44" s="25"/>
      <c r="H44" s="25"/>
      <c r="I44" s="25"/>
      <c r="J44" s="23"/>
      <c r="K44" s="23"/>
      <c r="L44" s="25"/>
      <c r="M44" s="23"/>
    </row>
    <row r="45" spans="1:13" ht="12.75">
      <c r="A45" s="23"/>
      <c r="B45" s="25"/>
      <c r="C45" s="25"/>
      <c r="D45" s="206"/>
      <c r="E45" s="25"/>
      <c r="F45" s="25"/>
      <c r="G45" s="25"/>
      <c r="H45" s="25"/>
      <c r="I45" s="25"/>
      <c r="J45" s="23"/>
      <c r="K45" s="23"/>
      <c r="L45" s="23"/>
      <c r="M45" s="23"/>
    </row>
    <row r="46" spans="1:13" ht="12.75">
      <c r="A46" s="23"/>
      <c r="B46" s="25"/>
      <c r="C46" s="25"/>
      <c r="D46" s="206"/>
      <c r="E46" s="25"/>
      <c r="F46" s="25"/>
      <c r="G46" s="25"/>
      <c r="H46" s="25"/>
      <c r="I46" s="25"/>
      <c r="J46" s="23"/>
      <c r="K46" s="23"/>
      <c r="L46" s="23"/>
      <c r="M46" s="23"/>
    </row>
    <row r="47" spans="1:13" ht="12.75">
      <c r="A47" s="23"/>
      <c r="B47" s="25"/>
      <c r="C47" s="25"/>
      <c r="D47" s="206"/>
      <c r="E47" s="25"/>
      <c r="F47" s="25"/>
      <c r="G47" s="25"/>
      <c r="H47" s="25"/>
      <c r="I47" s="25"/>
      <c r="J47" s="23"/>
      <c r="K47" s="23"/>
      <c r="L47" s="23"/>
      <c r="M47" s="23"/>
    </row>
    <row r="48" spans="1:13" ht="12.75">
      <c r="A48" s="23"/>
      <c r="B48" s="25"/>
      <c r="C48" s="25"/>
      <c r="D48" s="206"/>
      <c r="E48" s="25"/>
      <c r="F48" s="25"/>
      <c r="G48" s="25"/>
      <c r="H48" s="25"/>
      <c r="I48" s="25"/>
      <c r="J48" s="23"/>
      <c r="K48" s="23"/>
      <c r="L48" s="23"/>
      <c r="M48" s="23"/>
    </row>
    <row r="49" spans="1:13" ht="12.75">
      <c r="A49" s="23"/>
      <c r="B49" s="25"/>
      <c r="C49" s="25"/>
      <c r="D49" s="206"/>
      <c r="E49" s="25"/>
      <c r="F49" s="25"/>
      <c r="G49" s="25"/>
      <c r="H49" s="25"/>
      <c r="I49" s="25"/>
      <c r="J49" s="23"/>
      <c r="K49" s="23"/>
      <c r="L49" s="23"/>
      <c r="M49" s="23"/>
    </row>
    <row r="50" spans="1:13" ht="12.75">
      <c r="A50" s="23"/>
      <c r="B50" s="25"/>
      <c r="C50" s="25"/>
      <c r="D50" s="206"/>
      <c r="E50" s="25"/>
      <c r="F50" s="25"/>
      <c r="G50" s="25"/>
      <c r="H50" s="25"/>
      <c r="I50" s="25"/>
      <c r="J50" s="23"/>
      <c r="K50" s="23"/>
      <c r="L50" s="23"/>
      <c r="M50" s="23"/>
    </row>
    <row r="51" spans="1:13" ht="12.75">
      <c r="A51" s="23"/>
      <c r="B51" s="25"/>
      <c r="C51" s="25"/>
      <c r="D51" s="206"/>
      <c r="E51" s="25"/>
      <c r="F51" s="25"/>
      <c r="G51" s="25"/>
      <c r="H51" s="25"/>
      <c r="I51" s="25"/>
      <c r="J51" s="23"/>
      <c r="K51" s="23"/>
      <c r="L51" s="23"/>
      <c r="M51" s="23"/>
    </row>
    <row r="52" spans="1:13" ht="12.75">
      <c r="A52" s="23"/>
      <c r="B52" s="25"/>
      <c r="C52" s="25"/>
      <c r="D52" s="206"/>
      <c r="E52" s="25"/>
      <c r="F52" s="25"/>
      <c r="G52" s="25"/>
      <c r="H52" s="25"/>
      <c r="I52" s="25"/>
      <c r="J52" s="23"/>
      <c r="K52" s="23"/>
      <c r="L52" s="23"/>
      <c r="M52" s="23"/>
    </row>
    <row r="53" spans="1:13" ht="12.75">
      <c r="A53" s="23"/>
      <c r="B53" s="25"/>
      <c r="C53" s="25"/>
      <c r="D53" s="206"/>
      <c r="E53" s="25"/>
      <c r="F53" s="25"/>
      <c r="G53" s="25"/>
      <c r="H53" s="25"/>
      <c r="I53" s="25"/>
      <c r="J53" s="23"/>
      <c r="K53" s="23"/>
      <c r="L53" s="23"/>
      <c r="M53" s="23"/>
    </row>
    <row r="54" spans="1:13" ht="12.75">
      <c r="A54" s="23"/>
      <c r="B54" s="25"/>
      <c r="C54" s="25"/>
      <c r="D54" s="206"/>
      <c r="E54" s="25"/>
      <c r="F54" s="25"/>
      <c r="G54" s="25"/>
      <c r="H54" s="25"/>
      <c r="I54" s="25"/>
      <c r="J54" s="23"/>
      <c r="K54" s="23"/>
      <c r="L54" s="23"/>
      <c r="M54" s="23"/>
    </row>
    <row r="55" spans="1:13" ht="12.75">
      <c r="A55" s="23"/>
      <c r="B55" s="25"/>
      <c r="C55" s="25"/>
      <c r="D55" s="206"/>
      <c r="E55" s="25"/>
      <c r="F55" s="25"/>
      <c r="G55" s="25"/>
      <c r="H55" s="25"/>
      <c r="I55" s="25"/>
      <c r="J55" s="23"/>
      <c r="K55" s="23"/>
      <c r="L55" s="23"/>
      <c r="M55" s="23"/>
    </row>
    <row r="56" spans="1:13" ht="12.75">
      <c r="A56" s="23"/>
      <c r="B56" s="25"/>
      <c r="C56" s="25"/>
      <c r="D56" s="206"/>
      <c r="E56" s="25"/>
      <c r="F56" s="25"/>
      <c r="G56" s="25"/>
      <c r="H56" s="25"/>
      <c r="I56" s="25"/>
      <c r="J56" s="23"/>
      <c r="K56" s="23"/>
      <c r="L56" s="23"/>
      <c r="M56" s="23"/>
    </row>
    <row r="57" spans="1:13" ht="12.75">
      <c r="A57" s="23"/>
      <c r="B57" s="25"/>
      <c r="C57" s="25"/>
      <c r="D57" s="206"/>
      <c r="E57" s="25"/>
      <c r="F57" s="25"/>
      <c r="G57" s="25"/>
      <c r="H57" s="25"/>
      <c r="I57" s="25"/>
      <c r="J57" s="23"/>
      <c r="K57" s="23"/>
      <c r="L57" s="23"/>
      <c r="M57" s="23"/>
    </row>
    <row r="58" spans="1:13" ht="12.75">
      <c r="A58" s="23"/>
      <c r="B58" s="25"/>
      <c r="C58" s="25"/>
      <c r="D58" s="206"/>
      <c r="E58" s="25"/>
      <c r="F58" s="25"/>
      <c r="G58" s="25"/>
      <c r="H58" s="25"/>
      <c r="I58" s="25"/>
      <c r="J58" s="23"/>
      <c r="K58" s="23"/>
      <c r="L58" s="23"/>
      <c r="M58" s="23"/>
    </row>
    <row r="59" spans="1:13" ht="12.75">
      <c r="A59" s="23"/>
      <c r="B59" s="25"/>
      <c r="C59" s="25"/>
      <c r="D59" s="206"/>
      <c r="E59" s="25"/>
      <c r="F59" s="25"/>
      <c r="G59" s="25"/>
      <c r="H59" s="25"/>
      <c r="I59" s="25"/>
      <c r="J59" s="23"/>
      <c r="K59" s="23"/>
      <c r="L59" s="23"/>
      <c r="M59" s="23"/>
    </row>
    <row r="60" spans="1:13" ht="12.75">
      <c r="A60" s="23"/>
      <c r="B60" s="25"/>
      <c r="C60" s="25"/>
      <c r="D60" s="206"/>
      <c r="E60" s="25"/>
      <c r="F60" s="25"/>
      <c r="G60" s="25"/>
      <c r="H60" s="25"/>
      <c r="I60" s="25"/>
      <c r="J60" s="23"/>
      <c r="K60" s="23"/>
      <c r="L60" s="23"/>
      <c r="M60" s="23"/>
    </row>
    <row r="61" spans="1:13" ht="12.75">
      <c r="A61" s="23"/>
      <c r="B61" s="25"/>
      <c r="C61" s="25"/>
      <c r="D61" s="206"/>
      <c r="E61" s="25"/>
      <c r="F61" s="25"/>
      <c r="G61" s="25"/>
      <c r="H61" s="25"/>
      <c r="I61" s="25"/>
      <c r="J61" s="23"/>
      <c r="K61" s="23"/>
      <c r="L61" s="23"/>
      <c r="M61" s="23"/>
    </row>
    <row r="62" spans="1:13" ht="12.75">
      <c r="A62" s="23"/>
      <c r="B62" s="25"/>
      <c r="C62" s="25"/>
      <c r="D62" s="206"/>
      <c r="E62" s="25"/>
      <c r="F62" s="25"/>
      <c r="G62" s="25"/>
      <c r="H62" s="25"/>
      <c r="I62" s="25"/>
      <c r="J62" s="23"/>
      <c r="K62" s="23"/>
      <c r="L62" s="23"/>
      <c r="M62" s="23"/>
    </row>
    <row r="63" spans="1:13" ht="12.75">
      <c r="A63" s="23"/>
      <c r="B63" s="25"/>
      <c r="C63" s="25"/>
      <c r="D63" s="206"/>
      <c r="E63" s="25"/>
      <c r="F63" s="25"/>
      <c r="G63" s="25"/>
      <c r="H63" s="25"/>
      <c r="I63" s="25"/>
      <c r="J63" s="23"/>
      <c r="K63" s="23"/>
      <c r="L63" s="23"/>
      <c r="M63" s="23"/>
    </row>
    <row r="64" spans="1:13" ht="12.75">
      <c r="A64" s="23"/>
      <c r="B64" s="25"/>
      <c r="C64" s="25"/>
      <c r="D64" s="206"/>
      <c r="E64" s="25"/>
      <c r="F64" s="25"/>
      <c r="G64" s="25"/>
      <c r="H64" s="25"/>
      <c r="I64" s="25"/>
      <c r="J64" s="23"/>
      <c r="K64" s="23"/>
      <c r="L64" s="23"/>
      <c r="M64" s="23"/>
    </row>
    <row r="65" spans="1:13" ht="12.75">
      <c r="A65" s="23"/>
      <c r="B65" s="25"/>
      <c r="C65" s="25"/>
      <c r="D65" s="206"/>
      <c r="E65" s="25"/>
      <c r="F65" s="25"/>
      <c r="G65" s="25"/>
      <c r="H65" s="25"/>
      <c r="I65" s="25"/>
      <c r="J65" s="23"/>
      <c r="K65" s="23"/>
      <c r="L65" s="23"/>
      <c r="M65" s="23"/>
    </row>
    <row r="66" spans="1:13" ht="12.75">
      <c r="A66" s="23"/>
      <c r="B66" s="25"/>
      <c r="C66" s="25"/>
      <c r="D66" s="206"/>
      <c r="E66" s="25"/>
      <c r="F66" s="25"/>
      <c r="G66" s="25"/>
      <c r="H66" s="25"/>
      <c r="I66" s="25"/>
      <c r="J66" s="23"/>
      <c r="K66" s="23"/>
      <c r="L66" s="23"/>
      <c r="M66" s="23"/>
    </row>
    <row r="67" spans="1:13" ht="12.75">
      <c r="A67" s="23"/>
      <c r="B67" s="25"/>
      <c r="C67" s="25"/>
      <c r="D67" s="206"/>
      <c r="E67" s="25"/>
      <c r="F67" s="25"/>
      <c r="G67" s="25"/>
      <c r="H67" s="25"/>
      <c r="I67" s="25"/>
      <c r="J67" s="23"/>
      <c r="K67" s="23"/>
      <c r="L67" s="23"/>
      <c r="M67" s="23"/>
    </row>
    <row r="68" spans="1:13" ht="12.75">
      <c r="A68" s="23"/>
      <c r="B68" s="25"/>
      <c r="C68" s="25"/>
      <c r="D68" s="206"/>
      <c r="E68" s="25"/>
      <c r="F68" s="25"/>
      <c r="G68" s="25"/>
      <c r="H68" s="25"/>
      <c r="I68" s="25"/>
      <c r="J68" s="23"/>
      <c r="K68" s="23"/>
      <c r="L68" s="23"/>
      <c r="M68" s="23"/>
    </row>
    <row r="69" spans="1:13" ht="12.75">
      <c r="A69" s="23"/>
      <c r="B69" s="25"/>
      <c r="C69" s="25"/>
      <c r="D69" s="206"/>
      <c r="E69" s="25"/>
      <c r="F69" s="25"/>
      <c r="G69" s="25"/>
      <c r="H69" s="25"/>
      <c r="I69" s="25"/>
      <c r="J69" s="23"/>
      <c r="K69" s="23"/>
      <c r="L69" s="23"/>
      <c r="M69" s="23"/>
    </row>
    <row r="70" spans="1:13" ht="12.75">
      <c r="A70" s="23"/>
      <c r="B70" s="25"/>
      <c r="C70" s="25"/>
      <c r="D70" s="206"/>
      <c r="E70" s="25"/>
      <c r="F70" s="25"/>
      <c r="G70" s="25"/>
      <c r="H70" s="25"/>
      <c r="I70" s="25"/>
      <c r="J70" s="23"/>
      <c r="K70" s="23"/>
      <c r="L70" s="23"/>
      <c r="M70" s="23"/>
    </row>
    <row r="71" spans="1:13" ht="12.75">
      <c r="A71" s="23"/>
      <c r="B71" s="25"/>
      <c r="C71" s="25"/>
      <c r="D71" s="206"/>
      <c r="E71" s="25"/>
      <c r="F71" s="25"/>
      <c r="G71" s="25"/>
      <c r="H71" s="25"/>
      <c r="I71" s="25"/>
      <c r="J71" s="23"/>
      <c r="K71" s="23"/>
      <c r="L71" s="23"/>
      <c r="M71" s="23"/>
    </row>
    <row r="72" spans="2:9" ht="12.75">
      <c r="B72" s="27"/>
      <c r="C72" s="27"/>
      <c r="D72" s="211"/>
      <c r="E72" s="27"/>
      <c r="F72" s="27"/>
      <c r="G72" s="27"/>
      <c r="H72" s="27"/>
      <c r="I72" s="27"/>
    </row>
    <row r="73" spans="2:9" ht="12.75">
      <c r="B73" s="27"/>
      <c r="C73" s="27"/>
      <c r="D73" s="211"/>
      <c r="E73" s="27"/>
      <c r="F73" s="27"/>
      <c r="G73" s="27"/>
      <c r="H73" s="27"/>
      <c r="I73" s="27"/>
    </row>
    <row r="74" spans="2:9" ht="12.75">
      <c r="B74" s="27"/>
      <c r="C74" s="27"/>
      <c r="D74" s="211"/>
      <c r="E74" s="27"/>
      <c r="F74" s="27"/>
      <c r="G74" s="27"/>
      <c r="H74" s="27"/>
      <c r="I74" s="27"/>
    </row>
    <row r="75" spans="2:9" ht="12.75">
      <c r="B75" s="27"/>
      <c r="C75" s="27"/>
      <c r="D75" s="211"/>
      <c r="E75" s="27"/>
      <c r="F75" s="27"/>
      <c r="G75" s="27"/>
      <c r="H75" s="27"/>
      <c r="I75" s="27"/>
    </row>
    <row r="76" spans="2:9" ht="12.75">
      <c r="B76" s="27"/>
      <c r="C76" s="27"/>
      <c r="D76" s="211"/>
      <c r="E76" s="27"/>
      <c r="F76" s="27"/>
      <c r="G76" s="27"/>
      <c r="H76" s="27"/>
      <c r="I76" s="27"/>
    </row>
    <row r="77" spans="2:9" ht="12.75">
      <c r="B77" s="27"/>
      <c r="C77" s="27"/>
      <c r="D77" s="211"/>
      <c r="E77" s="27"/>
      <c r="F77" s="27"/>
      <c r="G77" s="27"/>
      <c r="H77" s="27"/>
      <c r="I77" s="27"/>
    </row>
    <row r="78" spans="2:9" ht="12.75">
      <c r="B78" s="27"/>
      <c r="C78" s="27"/>
      <c r="D78" s="211"/>
      <c r="E78" s="27"/>
      <c r="F78" s="27"/>
      <c r="G78" s="27"/>
      <c r="H78" s="27"/>
      <c r="I78" s="27"/>
    </row>
    <row r="79" spans="2:9" ht="12.75">
      <c r="B79" s="27"/>
      <c r="C79" s="27"/>
      <c r="D79" s="211"/>
      <c r="E79" s="27"/>
      <c r="F79" s="27"/>
      <c r="G79" s="27"/>
      <c r="H79" s="27"/>
      <c r="I79" s="27"/>
    </row>
    <row r="80" spans="2:9" ht="12.75">
      <c r="B80" s="27"/>
      <c r="C80" s="27"/>
      <c r="D80" s="211"/>
      <c r="E80" s="27"/>
      <c r="F80" s="27"/>
      <c r="G80" s="27"/>
      <c r="H80" s="27"/>
      <c r="I80" s="27"/>
    </row>
    <row r="81" spans="2:9" ht="12.75">
      <c r="B81" s="27"/>
      <c r="C81" s="27"/>
      <c r="D81" s="211"/>
      <c r="E81" s="27"/>
      <c r="F81" s="27"/>
      <c r="G81" s="27"/>
      <c r="H81" s="27"/>
      <c r="I81" s="27"/>
    </row>
    <row r="82" spans="2:9" ht="12.75">
      <c r="B82" s="27"/>
      <c r="C82" s="27"/>
      <c r="D82" s="211"/>
      <c r="E82" s="27"/>
      <c r="F82" s="27"/>
      <c r="G82" s="27"/>
      <c r="H82" s="27"/>
      <c r="I82" s="27"/>
    </row>
    <row r="83" spans="2:9" ht="12.75">
      <c r="B83" s="27"/>
      <c r="C83" s="27"/>
      <c r="D83" s="211"/>
      <c r="E83" s="27"/>
      <c r="F83" s="27"/>
      <c r="G83" s="27"/>
      <c r="H83" s="27"/>
      <c r="I83" s="27"/>
    </row>
    <row r="84" spans="2:9" ht="12.75">
      <c r="B84" s="27"/>
      <c r="C84" s="27"/>
      <c r="D84" s="211"/>
      <c r="E84" s="27"/>
      <c r="F84" s="27"/>
      <c r="G84" s="27"/>
      <c r="H84" s="27"/>
      <c r="I84" s="27"/>
    </row>
    <row r="85" spans="2:9" ht="12.75">
      <c r="B85" s="27"/>
      <c r="C85" s="27"/>
      <c r="D85" s="211"/>
      <c r="E85" s="27"/>
      <c r="F85" s="27"/>
      <c r="G85" s="27"/>
      <c r="H85" s="27"/>
      <c r="I85" s="27"/>
    </row>
    <row r="86" spans="2:9" ht="12.75">
      <c r="B86" s="27"/>
      <c r="C86" s="27"/>
      <c r="D86" s="211"/>
      <c r="E86" s="27"/>
      <c r="F86" s="27"/>
      <c r="G86" s="27"/>
      <c r="H86" s="27"/>
      <c r="I86" s="27"/>
    </row>
    <row r="87" spans="2:9" ht="12.75">
      <c r="B87" s="27"/>
      <c r="C87" s="27"/>
      <c r="D87" s="211"/>
      <c r="E87" s="27"/>
      <c r="F87" s="27"/>
      <c r="G87" s="27"/>
      <c r="H87" s="27"/>
      <c r="I87" s="27"/>
    </row>
    <row r="88" spans="2:9" ht="12.75">
      <c r="B88" s="27"/>
      <c r="C88" s="27"/>
      <c r="D88" s="211"/>
      <c r="E88" s="27"/>
      <c r="F88" s="27"/>
      <c r="G88" s="27"/>
      <c r="H88" s="27"/>
      <c r="I88" s="27"/>
    </row>
    <row r="89" spans="2:9" ht="12.75">
      <c r="B89" s="27"/>
      <c r="C89" s="27"/>
      <c r="D89" s="211"/>
      <c r="E89" s="27"/>
      <c r="F89" s="27"/>
      <c r="G89" s="27"/>
      <c r="H89" s="27"/>
      <c r="I89" s="27"/>
    </row>
    <row r="90" spans="2:9" ht="12.75">
      <c r="B90" s="27"/>
      <c r="C90" s="27"/>
      <c r="D90" s="211"/>
      <c r="E90" s="27"/>
      <c r="F90" s="27"/>
      <c r="G90" s="27"/>
      <c r="H90" s="27"/>
      <c r="I90" s="27"/>
    </row>
    <row r="91" spans="2:9" ht="12.75">
      <c r="B91" s="27"/>
      <c r="C91" s="27"/>
      <c r="D91" s="211"/>
      <c r="E91" s="27"/>
      <c r="F91" s="27"/>
      <c r="G91" s="27"/>
      <c r="H91" s="27"/>
      <c r="I91" s="27"/>
    </row>
    <row r="92" spans="2:9" ht="12.75">
      <c r="B92" s="27"/>
      <c r="C92" s="27"/>
      <c r="D92" s="211"/>
      <c r="E92" s="27"/>
      <c r="F92" s="27"/>
      <c r="G92" s="27"/>
      <c r="H92" s="27"/>
      <c r="I92" s="27"/>
    </row>
    <row r="93" spans="2:9" ht="12.75">
      <c r="B93" s="27"/>
      <c r="C93" s="27"/>
      <c r="D93" s="211"/>
      <c r="E93" s="27"/>
      <c r="F93" s="27"/>
      <c r="G93" s="27"/>
      <c r="H93" s="27"/>
      <c r="I93" s="27"/>
    </row>
    <row r="94" spans="2:9" ht="12.75">
      <c r="B94" s="27"/>
      <c r="C94" s="27"/>
      <c r="D94" s="211"/>
      <c r="E94" s="27"/>
      <c r="F94" s="27"/>
      <c r="G94" s="27"/>
      <c r="H94" s="27"/>
      <c r="I94" s="27"/>
    </row>
    <row r="95" spans="2:9" ht="12.75">
      <c r="B95" s="27"/>
      <c r="C95" s="27"/>
      <c r="D95" s="211"/>
      <c r="E95" s="27"/>
      <c r="F95" s="27"/>
      <c r="G95" s="27"/>
      <c r="H95" s="27"/>
      <c r="I95" s="27"/>
    </row>
    <row r="96" spans="2:9" ht="12.75">
      <c r="B96" s="27"/>
      <c r="C96" s="27"/>
      <c r="D96" s="211"/>
      <c r="E96" s="27"/>
      <c r="F96" s="27"/>
      <c r="G96" s="27"/>
      <c r="H96" s="27"/>
      <c r="I96" s="27"/>
    </row>
    <row r="97" spans="2:9" ht="12.75">
      <c r="B97" s="27"/>
      <c r="C97" s="27"/>
      <c r="D97" s="211"/>
      <c r="E97" s="27"/>
      <c r="F97" s="27"/>
      <c r="G97" s="27"/>
      <c r="H97" s="27"/>
      <c r="I97" s="27"/>
    </row>
    <row r="98" spans="2:9" ht="12.75">
      <c r="B98" s="27"/>
      <c r="C98" s="27"/>
      <c r="D98" s="211"/>
      <c r="E98" s="27"/>
      <c r="F98" s="27"/>
      <c r="G98" s="27"/>
      <c r="H98" s="27"/>
      <c r="I98" s="27"/>
    </row>
    <row r="99" spans="2:9" ht="12.75">
      <c r="B99" s="27"/>
      <c r="C99" s="27"/>
      <c r="D99" s="211"/>
      <c r="E99" s="27"/>
      <c r="F99" s="27"/>
      <c r="G99" s="27"/>
      <c r="H99" s="27"/>
      <c r="I99" s="27"/>
    </row>
    <row r="100" spans="2:9" ht="12.75">
      <c r="B100" s="27"/>
      <c r="C100" s="27"/>
      <c r="D100" s="211"/>
      <c r="E100" s="27"/>
      <c r="F100" s="27"/>
      <c r="G100" s="27"/>
      <c r="H100" s="27"/>
      <c r="I100" s="27"/>
    </row>
    <row r="101" spans="2:9" ht="12.75">
      <c r="B101" s="27"/>
      <c r="C101" s="27"/>
      <c r="D101" s="211"/>
      <c r="E101" s="27"/>
      <c r="F101" s="27"/>
      <c r="G101" s="27"/>
      <c r="H101" s="27"/>
      <c r="I101" s="27"/>
    </row>
    <row r="102" spans="2:9" ht="12.75">
      <c r="B102" s="27"/>
      <c r="C102" s="27"/>
      <c r="D102" s="211"/>
      <c r="E102" s="27"/>
      <c r="F102" s="27"/>
      <c r="G102" s="27"/>
      <c r="H102" s="27"/>
      <c r="I102" s="27"/>
    </row>
    <row r="103" spans="2:9" ht="12.75">
      <c r="B103" s="27"/>
      <c r="C103" s="27"/>
      <c r="D103" s="211"/>
      <c r="E103" s="27"/>
      <c r="F103" s="27"/>
      <c r="G103" s="27"/>
      <c r="H103" s="27"/>
      <c r="I103" s="27"/>
    </row>
    <row r="104" spans="2:9" ht="12.75">
      <c r="B104" s="27"/>
      <c r="C104" s="27"/>
      <c r="D104" s="211"/>
      <c r="E104" s="27"/>
      <c r="F104" s="27"/>
      <c r="G104" s="27"/>
      <c r="H104" s="27"/>
      <c r="I104" s="27"/>
    </row>
    <row r="105" spans="2:9" ht="12.75">
      <c r="B105" s="27"/>
      <c r="C105" s="27"/>
      <c r="D105" s="211"/>
      <c r="E105" s="27"/>
      <c r="F105" s="27"/>
      <c r="G105" s="27"/>
      <c r="H105" s="27"/>
      <c r="I105" s="27"/>
    </row>
    <row r="106" spans="2:9" ht="12.75">
      <c r="B106" s="27"/>
      <c r="C106" s="27"/>
      <c r="D106" s="211"/>
      <c r="E106" s="27"/>
      <c r="F106" s="27"/>
      <c r="G106" s="27"/>
      <c r="H106" s="27"/>
      <c r="I106" s="27"/>
    </row>
  </sheetData>
  <sheetProtection password="CAF5" sheet="1"/>
  <mergeCells count="8">
    <mergeCell ref="B6:B9"/>
    <mergeCell ref="F6:F9"/>
    <mergeCell ref="H6:H9"/>
    <mergeCell ref="I6:I9"/>
    <mergeCell ref="C6:C8"/>
    <mergeCell ref="D6:D8"/>
    <mergeCell ref="E6:E8"/>
    <mergeCell ref="G6:G8"/>
  </mergeCells>
  <printOptions horizontalCentered="1"/>
  <pageMargins left="0.7" right="0.75" top="0.83" bottom="0.84" header="0.67" footer="0.5"/>
  <pageSetup fitToHeight="1" fitToWidth="1" horizontalDpi="600" verticalDpi="600" orientation="landscape" scale="84" r:id="rId1"/>
  <headerFooter scaleWithDoc="0" alignWithMargins="0">
    <oddFooter>&amp;L&amp;"Arial,Italic"MSDE - LFRO   10 / 2011&amp;C- 18 -&amp;R&amp;"Arial,Italic"Selected Financial Data-Part 1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="99" zoomScaleNormal="99" zoomScalePageLayoutView="0" workbookViewId="0" topLeftCell="A4">
      <selection activeCell="E10" sqref="E10"/>
    </sheetView>
  </sheetViews>
  <sheetFormatPr defaultColWidth="9.140625" defaultRowHeight="12.75"/>
  <cols>
    <col min="1" max="1" width="22.00390625" style="0" customWidth="1"/>
    <col min="2" max="2" width="20.8515625" style="0" customWidth="1"/>
    <col min="3" max="3" width="18.140625" style="0" customWidth="1"/>
    <col min="4" max="4" width="21.00390625" style="0" customWidth="1"/>
    <col min="5" max="5" width="21.57421875" style="91" customWidth="1"/>
    <col min="6" max="6" width="22.421875" style="0" customWidth="1"/>
  </cols>
  <sheetData>
    <row r="1" spans="1:6" ht="12.75">
      <c r="A1" s="403" t="s">
        <v>110</v>
      </c>
      <c r="B1" s="403"/>
      <c r="C1" s="403"/>
      <c r="D1" s="403"/>
      <c r="E1" s="403"/>
      <c r="F1" s="403"/>
    </row>
    <row r="2" spans="1:5" ht="13.5" customHeight="1">
      <c r="A2" s="39"/>
      <c r="E2" s="32"/>
    </row>
    <row r="3" spans="1:6" ht="12.75">
      <c r="A3" s="398" t="s">
        <v>283</v>
      </c>
      <c r="B3" s="403"/>
      <c r="C3" s="403"/>
      <c r="D3" s="403"/>
      <c r="E3" s="403"/>
      <c r="F3" s="403"/>
    </row>
    <row r="4" spans="1:6" ht="13.5" thickBot="1">
      <c r="A4" s="3"/>
      <c r="B4" s="3"/>
      <c r="C4" s="3"/>
      <c r="D4" s="3"/>
      <c r="E4" s="23"/>
      <c r="F4" s="3"/>
    </row>
    <row r="5" spans="1:7" ht="15" customHeight="1" thickTop="1">
      <c r="A5" s="6"/>
      <c r="B5" s="66" t="s">
        <v>221</v>
      </c>
      <c r="C5" s="6"/>
      <c r="D5" s="6"/>
      <c r="E5" s="487" t="s">
        <v>284</v>
      </c>
      <c r="F5" s="160"/>
      <c r="G5" s="19"/>
    </row>
    <row r="6" spans="1:7" ht="12.75">
      <c r="A6" s="3" t="s">
        <v>80</v>
      </c>
      <c r="B6" s="4" t="s">
        <v>119</v>
      </c>
      <c r="C6" s="4" t="s">
        <v>105</v>
      </c>
      <c r="D6" s="4" t="s">
        <v>102</v>
      </c>
      <c r="E6" s="498"/>
      <c r="F6" s="4" t="s">
        <v>102</v>
      </c>
      <c r="G6" s="19"/>
    </row>
    <row r="7" spans="1:7" ht="12.75">
      <c r="A7" s="3" t="s">
        <v>33</v>
      </c>
      <c r="B7" s="4" t="s">
        <v>120</v>
      </c>
      <c r="C7" s="4" t="s">
        <v>106</v>
      </c>
      <c r="D7" s="4" t="s">
        <v>103</v>
      </c>
      <c r="E7" s="498"/>
      <c r="F7" s="4" t="s">
        <v>103</v>
      </c>
      <c r="G7" s="19"/>
    </row>
    <row r="8" spans="1:7" ht="13.5" thickBot="1">
      <c r="A8" s="7" t="s">
        <v>137</v>
      </c>
      <c r="B8" s="8" t="s">
        <v>104</v>
      </c>
      <c r="C8" s="8" t="s">
        <v>220</v>
      </c>
      <c r="D8" s="8" t="s">
        <v>107</v>
      </c>
      <c r="E8" s="499"/>
      <c r="F8" s="8" t="s">
        <v>108</v>
      </c>
      <c r="G8" s="19"/>
    </row>
    <row r="9" spans="1:6" ht="12.75">
      <c r="A9" s="3" t="s">
        <v>0</v>
      </c>
      <c r="B9" s="327">
        <f>SUM(B11:B38)</f>
        <v>772370442</v>
      </c>
      <c r="C9" s="328">
        <f>SUM(C11:C38)</f>
        <v>814609</v>
      </c>
      <c r="D9" s="16">
        <f>+B9*1000/C9</f>
        <v>948148.6725533354</v>
      </c>
      <c r="E9" s="58">
        <f>SUM(E11:E46)</f>
        <v>5699478</v>
      </c>
      <c r="F9" s="47">
        <f>+B9*1000/E9</f>
        <v>135515.99672812142</v>
      </c>
    </row>
    <row r="10" spans="1:6" ht="12.75">
      <c r="A10" s="3"/>
      <c r="B10" s="2"/>
      <c r="C10" s="5"/>
      <c r="D10" s="3"/>
      <c r="E10" s="59"/>
      <c r="F10" s="2"/>
    </row>
    <row r="11" spans="1:6" ht="12.75">
      <c r="A11" s="3" t="s">
        <v>1</v>
      </c>
      <c r="B11" s="2">
        <v>3816560</v>
      </c>
      <c r="C11" s="280">
        <v>8756.75</v>
      </c>
      <c r="D11" s="2">
        <f>+B11*1000/C11</f>
        <v>435842.06469295116</v>
      </c>
      <c r="E11" s="227">
        <v>72532</v>
      </c>
      <c r="F11" s="15">
        <f>+B11*1000/E11</f>
        <v>52618.98196658027</v>
      </c>
    </row>
    <row r="12" spans="1:6" ht="12.75">
      <c r="A12" s="3" t="s">
        <v>2</v>
      </c>
      <c r="B12" s="2">
        <v>86849623</v>
      </c>
      <c r="C12" s="280">
        <v>71834</v>
      </c>
      <c r="D12" s="2">
        <f>+B12*1000/C12</f>
        <v>1209032.254921068</v>
      </c>
      <c r="E12" s="227">
        <v>521209</v>
      </c>
      <c r="F12" s="15">
        <f>+B12*1000/E12</f>
        <v>166631.088488495</v>
      </c>
    </row>
    <row r="13" spans="1:6" ht="12.75">
      <c r="A13" s="3" t="s">
        <v>3</v>
      </c>
      <c r="B13" s="2">
        <v>38190377</v>
      </c>
      <c r="C13" s="280">
        <v>77871</v>
      </c>
      <c r="D13" s="2">
        <f>+B13*1000/C13</f>
        <v>490431.31589423533</v>
      </c>
      <c r="E13" s="228">
        <v>637418</v>
      </c>
      <c r="F13" s="15">
        <f>+B13*1000/E13</f>
        <v>59914.18033378411</v>
      </c>
    </row>
    <row r="14" spans="1:6" ht="12.75">
      <c r="A14" s="3" t="s">
        <v>4</v>
      </c>
      <c r="B14" s="2">
        <v>88989970</v>
      </c>
      <c r="C14" s="280">
        <v>99294.25</v>
      </c>
      <c r="D14" s="2">
        <f>+B14*1000/C14</f>
        <v>896224.8065723846</v>
      </c>
      <c r="E14" s="227">
        <v>789814</v>
      </c>
      <c r="F14" s="15">
        <f>+B14*1000/E14</f>
        <v>112672.05949755259</v>
      </c>
    </row>
    <row r="15" spans="1:6" ht="12.75">
      <c r="A15" s="3" t="s">
        <v>5</v>
      </c>
      <c r="B15" s="2">
        <v>13951302</v>
      </c>
      <c r="C15" s="280">
        <v>16661.75</v>
      </c>
      <c r="D15" s="2">
        <f>+B15*1000/C15</f>
        <v>837325.1309136195</v>
      </c>
      <c r="E15" s="227">
        <v>89212</v>
      </c>
      <c r="F15" s="15">
        <f>+B15*1000/E15</f>
        <v>156383.69277675648</v>
      </c>
    </row>
    <row r="16" spans="1:6" ht="12.75">
      <c r="A16" s="3"/>
      <c r="B16" s="2"/>
      <c r="C16" s="329"/>
      <c r="D16" s="2"/>
      <c r="E16" s="60"/>
      <c r="F16" s="15"/>
    </row>
    <row r="17" spans="1:6" ht="12.75">
      <c r="A17" s="3" t="s">
        <v>6</v>
      </c>
      <c r="B17" s="2">
        <v>3199323</v>
      </c>
      <c r="C17" s="280">
        <v>5253</v>
      </c>
      <c r="D17" s="2">
        <f>+B17*1000/C17</f>
        <v>609046.8303826385</v>
      </c>
      <c r="E17" s="227">
        <v>33367</v>
      </c>
      <c r="F17" s="15">
        <f>+B17*1000/E17</f>
        <v>95882.84832319357</v>
      </c>
    </row>
    <row r="18" spans="1:6" ht="12.75">
      <c r="A18" s="3" t="s">
        <v>7</v>
      </c>
      <c r="B18" s="2">
        <v>22093994</v>
      </c>
      <c r="C18" s="280">
        <v>27628.5</v>
      </c>
      <c r="D18" s="2">
        <f>+B18*1000/C18</f>
        <v>799681.2711511664</v>
      </c>
      <c r="E18" s="227">
        <v>170089</v>
      </c>
      <c r="F18" s="15">
        <f>+B18*1000/E18</f>
        <v>129896.66586316575</v>
      </c>
    </row>
    <row r="19" spans="1:6" ht="12.75">
      <c r="A19" s="3" t="s">
        <v>8</v>
      </c>
      <c r="B19" s="2">
        <v>11184512</v>
      </c>
      <c r="C19" s="280">
        <v>15628</v>
      </c>
      <c r="D19" s="2">
        <f>+B19*1000/C19</f>
        <v>715671.359099053</v>
      </c>
      <c r="E19" s="227">
        <v>100796</v>
      </c>
      <c r="F19" s="15">
        <f>+B19*1000/E19</f>
        <v>110961.86356601452</v>
      </c>
    </row>
    <row r="20" spans="1:6" ht="12.75">
      <c r="A20" s="3" t="s">
        <v>9</v>
      </c>
      <c r="B20" s="2">
        <v>19882783</v>
      </c>
      <c r="C20" s="280">
        <v>25860.5</v>
      </c>
      <c r="D20" s="2">
        <f>+B20*1000/C20</f>
        <v>768847.5860868893</v>
      </c>
      <c r="E20" s="227">
        <v>142226</v>
      </c>
      <c r="F20" s="15">
        <f>+B20*1000/E20</f>
        <v>139797.10460815884</v>
      </c>
    </row>
    <row r="21" spans="1:6" ht="12.75">
      <c r="A21" s="3" t="s">
        <v>10</v>
      </c>
      <c r="B21" s="2">
        <v>3527710</v>
      </c>
      <c r="C21" s="280">
        <v>4322</v>
      </c>
      <c r="D21" s="2">
        <f>+B21*1000/C21</f>
        <v>816221.6566404442</v>
      </c>
      <c r="E21" s="227">
        <v>32043</v>
      </c>
      <c r="F21" s="15">
        <f>+B21*1000/E21</f>
        <v>110093.00003120807</v>
      </c>
    </row>
    <row r="22" spans="1:6" ht="12.75">
      <c r="A22" s="3"/>
      <c r="B22" s="1"/>
      <c r="C22" s="280"/>
      <c r="D22" s="2"/>
      <c r="E22" s="34"/>
      <c r="F22" s="15"/>
    </row>
    <row r="23" spans="1:6" ht="12.75">
      <c r="A23" s="3" t="s">
        <v>11</v>
      </c>
      <c r="B23" s="2">
        <v>31969352</v>
      </c>
      <c r="C23" s="280">
        <v>39089</v>
      </c>
      <c r="D23" s="2">
        <f>+B23*1000/C23</f>
        <v>817860.5745862008</v>
      </c>
      <c r="E23" s="227">
        <v>227980</v>
      </c>
      <c r="F23" s="15">
        <f>+B23*1000/E23</f>
        <v>140228.75690850074</v>
      </c>
    </row>
    <row r="24" spans="1:6" ht="12.75">
      <c r="A24" s="3" t="s">
        <v>12</v>
      </c>
      <c r="B24" s="2">
        <v>4689794</v>
      </c>
      <c r="C24" s="280">
        <v>4290.75</v>
      </c>
      <c r="D24" s="2">
        <f>+B24*1000/C24</f>
        <v>1093000.990502826</v>
      </c>
      <c r="E24" s="227">
        <v>29555</v>
      </c>
      <c r="F24" s="15">
        <f>+B24*1000/E24</f>
        <v>158680.22331246827</v>
      </c>
    </row>
    <row r="25" spans="1:6" ht="12.75">
      <c r="A25" s="3" t="s">
        <v>13</v>
      </c>
      <c r="B25" s="2">
        <v>28453136</v>
      </c>
      <c r="C25" s="280">
        <v>37669.75</v>
      </c>
      <c r="D25" s="2">
        <f>+B25*1000/C25</f>
        <v>755331.1609447899</v>
      </c>
      <c r="E25" s="227">
        <v>242514</v>
      </c>
      <c r="F25" s="15">
        <f>+B25*1000/E25</f>
        <v>117325.74614249074</v>
      </c>
    </row>
    <row r="26" spans="1:6" ht="12.75">
      <c r="A26" s="3" t="s">
        <v>14</v>
      </c>
      <c r="B26" s="2">
        <v>50049686</v>
      </c>
      <c r="C26" s="280">
        <v>48832.25</v>
      </c>
      <c r="D26" s="2">
        <f>+B26*1000/C26</f>
        <v>1024930.9831105468</v>
      </c>
      <c r="E26" s="227">
        <v>281884</v>
      </c>
      <c r="F26" s="15">
        <f>+B26*1000/E26</f>
        <v>177554.19250471826</v>
      </c>
    </row>
    <row r="27" spans="1:6" ht="12.75">
      <c r="A27" s="3" t="s">
        <v>15</v>
      </c>
      <c r="B27" s="2">
        <v>3219073</v>
      </c>
      <c r="C27" s="280">
        <v>2081</v>
      </c>
      <c r="D27" s="2">
        <f>+B27*1000/C27</f>
        <v>1546887.5540605478</v>
      </c>
      <c r="E27" s="227">
        <v>20247</v>
      </c>
      <c r="F27" s="15">
        <f>+B27*1000/E27</f>
        <v>158990.12199338173</v>
      </c>
    </row>
    <row r="28" spans="1:6" ht="12.75">
      <c r="A28" s="3"/>
      <c r="B28" s="1"/>
      <c r="C28" s="329"/>
      <c r="D28" s="2"/>
      <c r="E28" s="34"/>
      <c r="F28" s="15"/>
    </row>
    <row r="29" spans="1:6" ht="12.75">
      <c r="A29" s="3" t="s">
        <v>16</v>
      </c>
      <c r="B29" s="2">
        <v>187664567</v>
      </c>
      <c r="C29" s="280">
        <v>135970</v>
      </c>
      <c r="D29" s="2">
        <f>+B29*1000/C29</f>
        <v>1380190.9759505773</v>
      </c>
      <c r="E29" s="227">
        <v>971600</v>
      </c>
      <c r="F29" s="15">
        <f>+B29*1000/E29</f>
        <v>193150.02778921367</v>
      </c>
    </row>
    <row r="30" spans="1:6" ht="12.75">
      <c r="A30" s="3" t="s">
        <v>17</v>
      </c>
      <c r="B30" s="2">
        <v>98867718</v>
      </c>
      <c r="C30" s="280">
        <v>121525.25</v>
      </c>
      <c r="D30" s="2">
        <f>+B30*1000/C30</f>
        <v>813557.0015284889</v>
      </c>
      <c r="E30" s="227">
        <v>834560</v>
      </c>
      <c r="F30" s="15">
        <f>+B30*1000/E30</f>
        <v>118466.87835506134</v>
      </c>
    </row>
    <row r="31" spans="1:6" ht="12.75">
      <c r="A31" s="3" t="s">
        <v>18</v>
      </c>
      <c r="B31" s="2">
        <v>9050949</v>
      </c>
      <c r="C31" s="280">
        <v>7517.25</v>
      </c>
      <c r="D31" s="2">
        <f>+B31*1000/C31</f>
        <v>1204023.9449266687</v>
      </c>
      <c r="E31" s="227">
        <v>47958</v>
      </c>
      <c r="F31" s="15">
        <f>+B31*1000/E31</f>
        <v>188726.57325159514</v>
      </c>
    </row>
    <row r="32" spans="1:6" ht="12.75">
      <c r="A32" s="3" t="s">
        <v>19</v>
      </c>
      <c r="B32" s="2">
        <v>12875262</v>
      </c>
      <c r="C32" s="280">
        <v>15981.5</v>
      </c>
      <c r="D32" s="2">
        <f>+B32*1000/C32</f>
        <v>805635.3909207521</v>
      </c>
      <c r="E32" s="227">
        <v>102999</v>
      </c>
      <c r="F32" s="15">
        <f>+B32*1000/E32</f>
        <v>125003.7573180322</v>
      </c>
    </row>
    <row r="33" spans="1:6" ht="12.75">
      <c r="A33" s="3" t="s">
        <v>20</v>
      </c>
      <c r="B33" s="2">
        <v>1757563</v>
      </c>
      <c r="C33" s="280">
        <v>2714</v>
      </c>
      <c r="D33" s="2">
        <f>+B33*1000/C33</f>
        <v>647591.3780397937</v>
      </c>
      <c r="E33" s="227">
        <v>25959</v>
      </c>
      <c r="F33" s="15">
        <f>+B33*1000/E33</f>
        <v>67705.34304094918</v>
      </c>
    </row>
    <row r="34" spans="1:6" ht="12.75">
      <c r="A34" s="3"/>
      <c r="B34" s="2"/>
      <c r="C34" s="329"/>
      <c r="D34" s="2"/>
      <c r="E34" s="34"/>
      <c r="F34" s="15"/>
    </row>
    <row r="35" spans="1:6" ht="12.75">
      <c r="A35" s="3" t="s">
        <v>21</v>
      </c>
      <c r="B35" s="2">
        <v>10142501</v>
      </c>
      <c r="C35" s="280">
        <v>4259.25</v>
      </c>
      <c r="D35" s="2">
        <f>+B35*1000/C35</f>
        <v>2381288.020191348</v>
      </c>
      <c r="E35" s="155">
        <v>36262</v>
      </c>
      <c r="F35" s="15">
        <f>+B35*1000/E35</f>
        <v>279700.5405107275</v>
      </c>
    </row>
    <row r="36" spans="1:6" ht="12.75">
      <c r="A36" s="3" t="s">
        <v>22</v>
      </c>
      <c r="B36" s="2">
        <v>14877217</v>
      </c>
      <c r="C36" s="280">
        <v>21238.25</v>
      </c>
      <c r="D36" s="2">
        <f>+B36*1000/C36</f>
        <v>700491.6600944052</v>
      </c>
      <c r="E36" s="155">
        <v>145910</v>
      </c>
      <c r="F36" s="15">
        <f>+B36*1000/E36</f>
        <v>101961.59961620177</v>
      </c>
    </row>
    <row r="37" spans="1:6" ht="12.75">
      <c r="A37" s="3" t="s">
        <v>23</v>
      </c>
      <c r="B37" s="2">
        <v>7774844</v>
      </c>
      <c r="C37" s="280">
        <v>14013</v>
      </c>
      <c r="D37" s="2">
        <f>+B37*1000/C37</f>
        <v>554830.7999714551</v>
      </c>
      <c r="E37" s="155">
        <v>94222</v>
      </c>
      <c r="F37" s="15">
        <f>+B37*1000/E37</f>
        <v>82516.22763261234</v>
      </c>
    </row>
    <row r="38" spans="1:6" ht="13.5" thickBot="1">
      <c r="A38" s="7" t="s">
        <v>24</v>
      </c>
      <c r="B38" s="85">
        <v>19292626</v>
      </c>
      <c r="C38" s="330">
        <v>6318</v>
      </c>
      <c r="D38" s="85">
        <f>+B38*1000/C38</f>
        <v>3053597.024374802</v>
      </c>
      <c r="E38" s="156">
        <v>49122</v>
      </c>
      <c r="F38" s="86">
        <f>+B38*1000/E38</f>
        <v>392749.1958796466</v>
      </c>
    </row>
    <row r="39" spans="1:6" ht="12.75">
      <c r="A39" s="271" t="s">
        <v>281</v>
      </c>
      <c r="B39" s="2"/>
      <c r="C39" s="2"/>
      <c r="D39" s="2"/>
      <c r="E39" s="146"/>
      <c r="F39" s="15"/>
    </row>
    <row r="40" ht="12.75">
      <c r="A40" s="271" t="s">
        <v>282</v>
      </c>
    </row>
    <row r="41" ht="12.75">
      <c r="A41" s="68"/>
    </row>
    <row r="42" ht="12.75">
      <c r="A42" s="232" t="s">
        <v>228</v>
      </c>
    </row>
    <row r="43" ht="12.75">
      <c r="A43" s="3"/>
    </row>
    <row r="44" ht="12.75">
      <c r="A44" s="270" t="s">
        <v>285</v>
      </c>
    </row>
    <row r="45" ht="12.75">
      <c r="A45" s="270" t="s">
        <v>287</v>
      </c>
    </row>
    <row r="46" ht="12.75">
      <c r="A46" s="270" t="s">
        <v>286</v>
      </c>
    </row>
    <row r="47" spans="4:5" ht="20.25" customHeight="1">
      <c r="D47" s="38"/>
      <c r="E47"/>
    </row>
    <row r="48" spans="4:5" ht="12.75">
      <c r="D48" s="38"/>
      <c r="E48"/>
    </row>
    <row r="49" spans="4:5" ht="12.75">
      <c r="D49" s="38"/>
      <c r="E49"/>
    </row>
    <row r="50" spans="4:5" ht="12.75">
      <c r="D50" s="38"/>
      <c r="E50"/>
    </row>
    <row r="51" spans="4:5" ht="12.75">
      <c r="D51" s="38"/>
      <c r="E51"/>
    </row>
    <row r="52" spans="4:5" ht="12.75">
      <c r="D52" s="38"/>
      <c r="E52"/>
    </row>
    <row r="53" spans="4:5" ht="12.75">
      <c r="D53" s="38"/>
      <c r="E53"/>
    </row>
    <row r="54" spans="4:5" ht="12.75">
      <c r="D54" s="38"/>
      <c r="E54"/>
    </row>
    <row r="55" spans="4:5" ht="12.75">
      <c r="D55" s="38"/>
      <c r="E55"/>
    </row>
    <row r="56" spans="4:5" ht="12.75">
      <c r="D56" s="38"/>
      <c r="E56"/>
    </row>
    <row r="57" spans="4:5" ht="12.75">
      <c r="D57" s="38"/>
      <c r="E57"/>
    </row>
    <row r="58" spans="4:5" ht="12.75">
      <c r="D58" s="38"/>
      <c r="E58"/>
    </row>
    <row r="59" spans="4:5" ht="12.75">
      <c r="D59" s="38"/>
      <c r="E59"/>
    </row>
    <row r="60" spans="4:5" ht="12.75">
      <c r="D60" s="38"/>
      <c r="E60"/>
    </row>
    <row r="61" spans="4:5" ht="12.75">
      <c r="D61" s="38"/>
      <c r="E61"/>
    </row>
    <row r="62" spans="4:5" ht="12.75">
      <c r="D62" s="38"/>
      <c r="E62"/>
    </row>
    <row r="63" spans="4:5" ht="12.75">
      <c r="D63" s="38"/>
      <c r="E63"/>
    </row>
    <row r="64" spans="4:5" ht="12.75">
      <c r="D64" s="38"/>
      <c r="E64"/>
    </row>
    <row r="65" spans="4:5" ht="12.75">
      <c r="D65" s="38"/>
      <c r="E65"/>
    </row>
    <row r="66" spans="4:5" ht="12.75">
      <c r="D66" s="38"/>
      <c r="E66"/>
    </row>
    <row r="67" spans="4:5" ht="12.75">
      <c r="D67" s="38"/>
      <c r="E67"/>
    </row>
    <row r="68" spans="4:5" ht="12.75">
      <c r="D68" s="38"/>
      <c r="E68"/>
    </row>
    <row r="69" spans="4:5" ht="12.75">
      <c r="D69" s="38"/>
      <c r="E69"/>
    </row>
    <row r="70" spans="4:5" ht="12.75">
      <c r="D70" s="38"/>
      <c r="E70"/>
    </row>
    <row r="71" spans="4:5" ht="12.75">
      <c r="D71" s="38"/>
      <c r="E71"/>
    </row>
    <row r="72" spans="4:5" ht="12.75">
      <c r="D72" s="38"/>
      <c r="E72"/>
    </row>
    <row r="73" spans="4:5" ht="12.75">
      <c r="D73" s="38"/>
      <c r="E73"/>
    </row>
  </sheetData>
  <sheetProtection password="CAF5" sheet="1" objects="1" scenarios="1"/>
  <mergeCells count="3">
    <mergeCell ref="A1:F1"/>
    <mergeCell ref="A3:F3"/>
    <mergeCell ref="E5:E8"/>
  </mergeCells>
  <printOptions horizontalCentered="1"/>
  <pageMargins left="0.75" right="0.75" top="0.83" bottom="1" header="0.67" footer="0.5"/>
  <pageSetup fitToHeight="1" fitToWidth="1" horizontalDpi="600" verticalDpi="600" orientation="landscape" scale="84" r:id="rId1"/>
  <headerFooter scaleWithDoc="0" alignWithMargins="0">
    <oddHeader>&amp;R
</oddHeader>
    <oddFooter>&amp;L&amp;"Arial,Italic"MSDE - LFRO  10 / 2011&amp;C- 19 -&amp;R&amp;"Arial,Italic"Selected Financial Data-Part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4.140625" style="91" customWidth="1"/>
    <col min="2" max="2" width="16.7109375" style="91" customWidth="1"/>
    <col min="3" max="3" width="17.7109375" style="91" bestFit="1" customWidth="1"/>
    <col min="4" max="4" width="16.28125" style="91" customWidth="1"/>
    <col min="5" max="5" width="17.7109375" style="91" bestFit="1" customWidth="1"/>
    <col min="6" max="6" width="14.8515625" style="91" bestFit="1" customWidth="1"/>
    <col min="7" max="7" width="13.28125" style="91" customWidth="1"/>
    <col min="8" max="8" width="2.7109375" style="91" customWidth="1"/>
    <col min="9" max="12" width="9.140625" style="91" customWidth="1"/>
    <col min="14" max="14" width="16.00390625" style="56" bestFit="1" customWidth="1"/>
    <col min="15" max="15" width="15.00390625" style="57" bestFit="1" customWidth="1"/>
    <col min="16" max="16" width="14.00390625" style="57" bestFit="1" customWidth="1"/>
    <col min="17" max="17" width="16.00390625" style="57" bestFit="1" customWidth="1"/>
  </cols>
  <sheetData>
    <row r="1" spans="1:12" ht="12.75">
      <c r="A1" s="396" t="s">
        <v>89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12.75">
      <c r="A2" s="23"/>
      <c r="B2" s="23"/>
      <c r="C2" s="89"/>
      <c r="D2" s="90"/>
      <c r="E2" s="23"/>
      <c r="F2" s="23"/>
      <c r="G2" s="23"/>
      <c r="H2" s="23"/>
      <c r="I2" s="23"/>
      <c r="J2" s="23"/>
      <c r="K2" s="23"/>
      <c r="L2" s="23"/>
    </row>
    <row r="3" spans="1:17" s="34" customFormat="1" ht="12.75">
      <c r="A3" s="398" t="s">
        <v>270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N3" s="68"/>
      <c r="O3" s="88"/>
      <c r="P3" s="88"/>
      <c r="Q3" s="88"/>
    </row>
    <row r="4" spans="1:12" ht="12.75">
      <c r="A4" s="397" t="s">
        <v>147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</row>
    <row r="5" ht="13.5" thickBot="1">
      <c r="I5" s="92"/>
    </row>
    <row r="6" spans="1:59" ht="15" customHeight="1" thickTop="1">
      <c r="A6" s="93" t="s">
        <v>80</v>
      </c>
      <c r="B6" s="94" t="s">
        <v>43</v>
      </c>
      <c r="C6" s="400" t="s">
        <v>83</v>
      </c>
      <c r="D6" s="400"/>
      <c r="E6" s="401"/>
      <c r="F6" s="401"/>
      <c r="G6" s="93"/>
      <c r="H6" s="93"/>
      <c r="I6" s="400" t="s">
        <v>85</v>
      </c>
      <c r="J6" s="400"/>
      <c r="K6" s="400"/>
      <c r="L6" s="400"/>
      <c r="M6" s="19"/>
      <c r="N6" s="79"/>
      <c r="O6" s="70"/>
      <c r="P6" s="70"/>
      <c r="Q6" s="70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12" ht="12.75">
      <c r="A7" s="95" t="s">
        <v>33</v>
      </c>
      <c r="B7" s="96" t="s">
        <v>86</v>
      </c>
      <c r="C7" s="399" t="s">
        <v>80</v>
      </c>
      <c r="D7" s="399"/>
      <c r="E7" s="97"/>
      <c r="F7" s="97"/>
      <c r="G7" s="96" t="s">
        <v>82</v>
      </c>
      <c r="H7" s="96"/>
      <c r="I7" s="98"/>
      <c r="J7" s="98"/>
      <c r="K7" s="98"/>
      <c r="L7" s="98" t="s">
        <v>82</v>
      </c>
    </row>
    <row r="8" spans="1:12" ht="13.5" thickBot="1">
      <c r="A8" s="99" t="s">
        <v>137</v>
      </c>
      <c r="B8" s="100" t="s">
        <v>87</v>
      </c>
      <c r="C8" s="101" t="s">
        <v>207</v>
      </c>
      <c r="D8" s="101" t="s">
        <v>208</v>
      </c>
      <c r="E8" s="101" t="s">
        <v>44</v>
      </c>
      <c r="F8" s="101" t="s">
        <v>51</v>
      </c>
      <c r="G8" s="101" t="s">
        <v>84</v>
      </c>
      <c r="H8" s="101"/>
      <c r="I8" s="100" t="s">
        <v>80</v>
      </c>
      <c r="J8" s="100" t="s">
        <v>44</v>
      </c>
      <c r="K8" s="102" t="s">
        <v>51</v>
      </c>
      <c r="L8" s="101" t="s">
        <v>84</v>
      </c>
    </row>
    <row r="9" spans="1:17" ht="12.75">
      <c r="A9" s="103" t="s">
        <v>0</v>
      </c>
      <c r="B9" s="104">
        <f aca="true" t="shared" si="0" ref="B9:G9">SUM(B11:B38)</f>
        <v>11567793726.968996</v>
      </c>
      <c r="C9" s="105">
        <f t="shared" si="0"/>
        <v>5329281690.6</v>
      </c>
      <c r="D9" s="104">
        <f t="shared" si="0"/>
        <v>72378351.67</v>
      </c>
      <c r="E9" s="105">
        <f t="shared" si="0"/>
        <v>5272955940.369</v>
      </c>
      <c r="F9" s="105">
        <f t="shared" si="0"/>
        <v>866677561.35</v>
      </c>
      <c r="G9" s="104">
        <f t="shared" si="0"/>
        <v>26500182.98</v>
      </c>
      <c r="H9" s="104"/>
      <c r="I9" s="106">
        <f>IF(B9&lt;&gt;0,((+C9+D9)/B9),(IF(C9&lt;&gt;0,1,0)))</f>
        <v>0.466956808684844</v>
      </c>
      <c r="J9" s="106">
        <f>IF($B9&lt;&gt;0,(E9/$B9),(IF(E9&lt;&gt;0,1,0)))</f>
        <v>0.4558307370294565</v>
      </c>
      <c r="K9" s="106">
        <f>IF($B9&lt;&gt;0,(F9/$B9),(IF(F9&lt;&gt;0,1,0)))</f>
        <v>0.074921595405824</v>
      </c>
      <c r="L9" s="106">
        <f>IF($B9&lt;&gt;0,(G9/$B9),(IF(G9&lt;&gt;0,1,0)))</f>
        <v>0.0022908588798759297</v>
      </c>
      <c r="M9" s="57"/>
      <c r="N9" s="71"/>
      <c r="O9" s="71"/>
      <c r="P9" s="71"/>
      <c r="Q9" s="71"/>
    </row>
    <row r="10" spans="1:14" ht="12.75">
      <c r="A10" s="103"/>
      <c r="B10" s="107"/>
      <c r="C10" s="108"/>
      <c r="D10" s="109"/>
      <c r="E10" s="110"/>
      <c r="F10" s="110"/>
      <c r="G10" s="110"/>
      <c r="H10" s="110"/>
      <c r="I10" s="111"/>
      <c r="J10" s="111"/>
      <c r="K10" s="111"/>
      <c r="L10" s="111"/>
      <c r="M10" s="57"/>
      <c r="N10" s="69"/>
    </row>
    <row r="11" spans="1:17" ht="12.75">
      <c r="A11" s="112" t="s">
        <v>1</v>
      </c>
      <c r="B11" s="113">
        <f aca="true" t="shared" si="1" ref="B11:B38">SUM(C11:G11)</f>
        <v>132693881.11999997</v>
      </c>
      <c r="C11" s="240">
        <v>28200314.15</v>
      </c>
      <c r="D11" s="240">
        <v>512713.25</v>
      </c>
      <c r="E11" s="240">
        <f>state1!C12</f>
        <v>92417486.36999999</v>
      </c>
      <c r="F11" s="239">
        <f>fed1!B12-'table 6'!I12-'table 6'!H12</f>
        <v>11374917.39</v>
      </c>
      <c r="G11" s="240">
        <v>188449.96</v>
      </c>
      <c r="H11" s="297"/>
      <c r="I11" s="336">
        <f>IF(B11&lt;&gt;0,((+C11+D11)/B11*100),(IF(C11&lt;&gt;0,1,0)))</f>
        <v>21.638546674231158</v>
      </c>
      <c r="J11" s="336">
        <f>IF($B11&lt;&gt;0,(E11/$B11*100),(IF(E11&lt;&gt;0,1,0)))</f>
        <v>69.64713488666703</v>
      </c>
      <c r="K11" s="115">
        <f aca="true" t="shared" si="2" ref="K11:L26">IF($B11&lt;&gt;0,(F11/$B11*100),(IF(F11&lt;&gt;0,1,0)))</f>
        <v>8.572299863407599</v>
      </c>
      <c r="L11" s="115">
        <f t="shared" si="2"/>
        <v>0.14201857569421586</v>
      </c>
      <c r="M11" s="73"/>
      <c r="N11" s="72"/>
      <c r="Q11" s="73"/>
    </row>
    <row r="12" spans="1:17" ht="12.75">
      <c r="A12" s="112" t="s">
        <v>2</v>
      </c>
      <c r="B12" s="113">
        <f t="shared" si="1"/>
        <v>943443253.0589998</v>
      </c>
      <c r="C12" s="240">
        <v>554023500</v>
      </c>
      <c r="D12" s="236">
        <v>4458492.76</v>
      </c>
      <c r="E12" s="240">
        <f>state1!C13</f>
        <v>325975276.04899985</v>
      </c>
      <c r="F12" s="239">
        <f>fed1!B13-'table 6'!I13-'table 6'!H13</f>
        <v>58528475.25</v>
      </c>
      <c r="G12" s="240">
        <v>457509</v>
      </c>
      <c r="H12" s="280"/>
      <c r="I12" s="336">
        <f>IF(B12&lt;&gt;0,((+C12+D12)/B12*100),(IF(C12&lt;&gt;0,1,0)))</f>
        <v>59.196140408995475</v>
      </c>
      <c r="J12" s="336">
        <f>IF($B12&lt;&gt;0,(E12/$B12*100),(IF(E12&lt;&gt;0,1,0)))</f>
        <v>34.55165692181959</v>
      </c>
      <c r="K12" s="115">
        <f t="shared" si="2"/>
        <v>6.203709132502517</v>
      </c>
      <c r="L12" s="115">
        <f t="shared" si="2"/>
        <v>0.048493536682421845</v>
      </c>
      <c r="M12" s="57"/>
      <c r="N12" s="72"/>
      <c r="Q12" s="73"/>
    </row>
    <row r="13" spans="1:17" ht="12.75">
      <c r="A13" s="112" t="s">
        <v>3</v>
      </c>
      <c r="B13" s="113">
        <f t="shared" si="1"/>
        <v>1285316173.79</v>
      </c>
      <c r="C13" s="240">
        <f>210018415-6737395.27</f>
        <v>203281019.73</v>
      </c>
      <c r="D13" s="240">
        <v>8255763.010000002</v>
      </c>
      <c r="E13" s="240">
        <f>state1!C14</f>
        <v>871046735.11</v>
      </c>
      <c r="F13" s="239">
        <f>fed1!B14-'table 6'!I14-'table 6'!H14</f>
        <v>202732655.94000006</v>
      </c>
      <c r="G13" s="240">
        <v>0</v>
      </c>
      <c r="H13" s="280"/>
      <c r="I13" s="336">
        <f>IF(B13&lt;&gt;0,((+C13+D13)/B13*100),(IF(C13&lt;&gt;0,1,0)))</f>
        <v>16.457956964490954</v>
      </c>
      <c r="J13" s="336">
        <f>IF($B13&lt;&gt;0,(E13/$B13*100),(IF(E13&lt;&gt;0,1,0)))</f>
        <v>67.7690635870202</v>
      </c>
      <c r="K13" s="115">
        <f t="shared" si="2"/>
        <v>15.772979448488861</v>
      </c>
      <c r="L13" s="115">
        <f t="shared" si="2"/>
        <v>0</v>
      </c>
      <c r="M13" s="57"/>
      <c r="N13" s="72"/>
      <c r="Q13" s="73"/>
    </row>
    <row r="14" spans="1:17" ht="12.75">
      <c r="A14" s="112" t="s">
        <v>4</v>
      </c>
      <c r="B14" s="113">
        <f t="shared" si="1"/>
        <v>1369149627.5</v>
      </c>
      <c r="C14" s="240">
        <v>670737639</v>
      </c>
      <c r="D14" s="240">
        <v>3012473.77</v>
      </c>
      <c r="E14" s="240">
        <f>state1!C15</f>
        <v>587119428.02</v>
      </c>
      <c r="F14" s="239">
        <f>fed1!B15-'table 6'!I15-'table 6'!H15</f>
        <v>92724955.71</v>
      </c>
      <c r="G14" s="240">
        <v>15555131</v>
      </c>
      <c r="H14" s="280"/>
      <c r="I14" s="336">
        <f>IF(B14&lt;&gt;0,((+C14+D14)/B14*100),(IF(C14&lt;&gt;0,1,0)))</f>
        <v>49.209385098415765</v>
      </c>
      <c r="J14" s="336">
        <f>IF($B14&lt;&gt;0,(E14/$B14*100),(IF(E14&lt;&gt;0,1,0)))</f>
        <v>42.88205001319332</v>
      </c>
      <c r="K14" s="115">
        <f t="shared" si="2"/>
        <v>6.772448667959777</v>
      </c>
      <c r="L14" s="115">
        <f t="shared" si="2"/>
        <v>1.1361162204311377</v>
      </c>
      <c r="M14" s="57"/>
      <c r="N14" s="72"/>
      <c r="Q14" s="73"/>
    </row>
    <row r="15" spans="1:17" ht="12.75">
      <c r="A15" s="112" t="s">
        <v>5</v>
      </c>
      <c r="B15" s="113">
        <f t="shared" si="1"/>
        <v>215949577.71</v>
      </c>
      <c r="C15" s="240">
        <v>103615515</v>
      </c>
      <c r="D15" s="240">
        <v>1470702.76</v>
      </c>
      <c r="E15" s="240">
        <f>state1!C16</f>
        <v>99063464.17999999</v>
      </c>
      <c r="F15" s="239">
        <f>fed1!B16-'table 6'!I16-'table 6'!H16</f>
        <v>10401299.77</v>
      </c>
      <c r="G15" s="240">
        <v>1398596</v>
      </c>
      <c r="H15" s="280"/>
      <c r="I15" s="336">
        <f>IF(B15&lt;&gt;0,((+C15+D15)/B15*100),(IF(C15&lt;&gt;0,1,0)))</f>
        <v>48.66238631923648</v>
      </c>
      <c r="J15" s="336">
        <f>IF($B15&lt;&gt;0,(E15/$B15*100),(IF(E15&lt;&gt;0,1,0)))</f>
        <v>45.87342343083112</v>
      </c>
      <c r="K15" s="115">
        <f t="shared" si="2"/>
        <v>4.816540916772696</v>
      </c>
      <c r="L15" s="115">
        <f t="shared" si="2"/>
        <v>0.6476493331596985</v>
      </c>
      <c r="M15" s="57"/>
      <c r="N15" s="72"/>
      <c r="Q15" s="73"/>
    </row>
    <row r="16" spans="1:14" ht="12.75">
      <c r="A16" s="112"/>
      <c r="B16" s="113"/>
      <c r="C16" s="240"/>
      <c r="D16" s="240"/>
      <c r="E16" s="383"/>
      <c r="F16" s="239"/>
      <c r="G16" s="240"/>
      <c r="H16" s="280"/>
      <c r="I16" s="336"/>
      <c r="J16" s="336"/>
      <c r="K16" s="115"/>
      <c r="L16" s="115"/>
      <c r="M16" s="57"/>
      <c r="N16" s="72"/>
    </row>
    <row r="17" spans="1:17" ht="12.75">
      <c r="A17" s="112" t="s">
        <v>6</v>
      </c>
      <c r="B17" s="113">
        <f t="shared" si="1"/>
        <v>65118433.11000001</v>
      </c>
      <c r="C17" s="236">
        <v>12145724</v>
      </c>
      <c r="D17" s="240">
        <v>578950.5900000001</v>
      </c>
      <c r="E17" s="240">
        <f>state1!C18</f>
        <v>45530086.45</v>
      </c>
      <c r="F17" s="239">
        <f>fed1!B18-'table 6'!I18-'table 6'!H18</f>
        <v>6863672.07</v>
      </c>
      <c r="G17" s="240">
        <v>0</v>
      </c>
      <c r="H17" s="280"/>
      <c r="I17" s="336">
        <f>IF(B17&lt;&gt;0,((+C17+D17)/B17*100),(IF(C17&lt;&gt;0,1,0)))</f>
        <v>19.540818140548772</v>
      </c>
      <c r="J17" s="336">
        <f>IF($B17&lt;&gt;0,(E17/$B17*100),(IF(E17&lt;&gt;0,1,0)))</f>
        <v>69.91889128089002</v>
      </c>
      <c r="K17" s="115">
        <f t="shared" si="2"/>
        <v>10.540290578561189</v>
      </c>
      <c r="L17" s="115">
        <f t="shared" si="2"/>
        <v>0</v>
      </c>
      <c r="M17" s="57"/>
      <c r="N17" s="72"/>
      <c r="Q17" s="73"/>
    </row>
    <row r="18" spans="1:17" ht="12.75">
      <c r="A18" s="112" t="s">
        <v>7</v>
      </c>
      <c r="B18" s="113">
        <f t="shared" si="1"/>
        <v>349472470.91999996</v>
      </c>
      <c r="C18" s="236">
        <v>169601292</v>
      </c>
      <c r="D18" s="240">
        <v>2022822.2499999998</v>
      </c>
      <c r="E18" s="240">
        <f>state1!C19</f>
        <v>161120176.4</v>
      </c>
      <c r="F18" s="239">
        <f>fed1!B19-'table 6'!I19-'table 6'!H19</f>
        <v>15501603.150000002</v>
      </c>
      <c r="G18" s="240">
        <v>1226577.1199999999</v>
      </c>
      <c r="H18" s="280"/>
      <c r="I18" s="336">
        <f>IF(B18&lt;&gt;0,((+C18+D18)/B18*100),(IF(C18&lt;&gt;0,1,0)))</f>
        <v>49.109480297029634</v>
      </c>
      <c r="J18" s="336">
        <f>IF($B18&lt;&gt;0,(E18/$B18*100),(IF(E18&lt;&gt;0,1,0)))</f>
        <v>46.10382499538371</v>
      </c>
      <c r="K18" s="115">
        <f t="shared" si="2"/>
        <v>4.435715096296835</v>
      </c>
      <c r="L18" s="115">
        <f t="shared" si="2"/>
        <v>0.3509796112898357</v>
      </c>
      <c r="M18" s="57"/>
      <c r="N18" s="72"/>
      <c r="Q18" s="73"/>
    </row>
    <row r="19" spans="1:17" ht="12.75">
      <c r="A19" s="112" t="s">
        <v>8</v>
      </c>
      <c r="B19" s="113">
        <f t="shared" si="1"/>
        <v>191255773.65000004</v>
      </c>
      <c r="C19" s="236">
        <v>68385625</v>
      </c>
      <c r="D19" s="240">
        <v>1073490.74</v>
      </c>
      <c r="E19" s="240">
        <f>state1!C20</f>
        <v>108729021.54000002</v>
      </c>
      <c r="F19" s="239">
        <f>fed1!B20-'table 6'!I20-'table 6'!H20</f>
        <v>13067636.370000001</v>
      </c>
      <c r="G19" s="240">
        <v>0</v>
      </c>
      <c r="H19" s="280"/>
      <c r="I19" s="336">
        <f>IF(B19&lt;&gt;0,((+C19+D19)/B19*100),(IF(C19&lt;&gt;0,1,0)))</f>
        <v>36.317395503631104</v>
      </c>
      <c r="J19" s="336">
        <f>IF($B19&lt;&gt;0,(E19/$B19*100),(IF(E19&lt;&gt;0,1,0)))</f>
        <v>56.85005972105982</v>
      </c>
      <c r="K19" s="115">
        <f t="shared" si="2"/>
        <v>6.832544775309062</v>
      </c>
      <c r="L19" s="115">
        <f t="shared" si="2"/>
        <v>0</v>
      </c>
      <c r="M19" s="57"/>
      <c r="N19" s="72"/>
      <c r="Q19" s="73"/>
    </row>
    <row r="20" spans="1:17" ht="12.75">
      <c r="A20" s="112" t="s">
        <v>9</v>
      </c>
      <c r="B20" s="113">
        <f t="shared" si="1"/>
        <v>334178321.90000004</v>
      </c>
      <c r="C20" s="236">
        <v>145093200</v>
      </c>
      <c r="D20" s="240">
        <v>2944107.46</v>
      </c>
      <c r="E20" s="240">
        <f>state1!C21</f>
        <v>167117389.25</v>
      </c>
      <c r="F20" s="239">
        <f>fed1!B21-'table 6'!I21-'table 6'!H21</f>
        <v>19023625.190000005</v>
      </c>
      <c r="G20" s="240">
        <v>0</v>
      </c>
      <c r="H20" s="280"/>
      <c r="I20" s="336">
        <f>IF(B20&lt;&gt;0,((+C20+D20)/B20*100),(IF(C20&lt;&gt;0,1,0)))</f>
        <v>44.2988960559503</v>
      </c>
      <c r="J20" s="336">
        <f>IF($B20&lt;&gt;0,(E20/$B20*100),(IF(E20&lt;&gt;0,1,0)))</f>
        <v>50.00844707694966</v>
      </c>
      <c r="K20" s="115">
        <f t="shared" si="2"/>
        <v>5.692656867100033</v>
      </c>
      <c r="L20" s="115">
        <f t="shared" si="2"/>
        <v>0</v>
      </c>
      <c r="M20" s="57"/>
      <c r="N20" s="72"/>
      <c r="Q20" s="73"/>
    </row>
    <row r="21" spans="1:17" ht="12.75">
      <c r="A21" s="112" t="s">
        <v>10</v>
      </c>
      <c r="B21" s="113">
        <f t="shared" si="1"/>
        <v>56612806.69</v>
      </c>
      <c r="C21" s="236">
        <v>17034817</v>
      </c>
      <c r="D21" s="240">
        <v>1024108.7000000001</v>
      </c>
      <c r="E21" s="240">
        <f>state1!C22</f>
        <v>32675951.239999995</v>
      </c>
      <c r="F21" s="239">
        <f>fed1!B22-'table 6'!I22-'table 6'!H22</f>
        <v>5877929.749999999</v>
      </c>
      <c r="G21" s="240">
        <v>0</v>
      </c>
      <c r="H21" s="280"/>
      <c r="I21" s="336">
        <f>IF(B21&lt;&gt;0,((+C21+D21)/B21*100),(IF(C21&lt;&gt;0,1,0)))</f>
        <v>31.899011470826622</v>
      </c>
      <c r="J21" s="336">
        <f>IF($B21&lt;&gt;0,(E21/$B21*100),(IF(E21&lt;&gt;0,1,0)))</f>
        <v>57.71830289023955</v>
      </c>
      <c r="K21" s="115">
        <f t="shared" si="2"/>
        <v>10.382685638933827</v>
      </c>
      <c r="L21" s="115">
        <f t="shared" si="2"/>
        <v>0</v>
      </c>
      <c r="M21" s="57"/>
      <c r="N21" s="72"/>
      <c r="Q21" s="73"/>
    </row>
    <row r="22" spans="1:14" ht="12.75">
      <c r="A22" s="112"/>
      <c r="B22" s="113"/>
      <c r="C22" s="240"/>
      <c r="D22" s="240"/>
      <c r="E22" s="383"/>
      <c r="F22" s="239"/>
      <c r="G22" s="240"/>
      <c r="H22" s="280"/>
      <c r="I22" s="336"/>
      <c r="J22" s="336"/>
      <c r="K22" s="115"/>
      <c r="L22" s="115"/>
      <c r="M22" s="57"/>
      <c r="N22" s="72"/>
    </row>
    <row r="23" spans="1:17" ht="12.75">
      <c r="A23" s="112" t="s">
        <v>11</v>
      </c>
      <c r="B23" s="113">
        <f t="shared" si="1"/>
        <v>480171655.34</v>
      </c>
      <c r="C23" s="240">
        <v>221957265</v>
      </c>
      <c r="D23" s="240">
        <v>2492695.19</v>
      </c>
      <c r="E23" s="240">
        <f>state1!C24</f>
        <v>230456263.06999996</v>
      </c>
      <c r="F23" s="239">
        <f>fed1!B24-'table 6'!I24-'table 6'!H24</f>
        <v>25265432.08</v>
      </c>
      <c r="G23" s="240">
        <v>0</v>
      </c>
      <c r="H23" s="280"/>
      <c r="I23" s="336">
        <f>IF(B23&lt;&gt;0,((+C23+D23)/B23*100),(IF(C23&lt;&gt;0,1,0)))</f>
        <v>46.743692113827805</v>
      </c>
      <c r="J23" s="336">
        <f aca="true" t="shared" si="3" ref="J23:L27">IF($B23&lt;&gt;0,(E23/$B23*100),(IF(E23&lt;&gt;0,1,0)))</f>
        <v>47.99455788510017</v>
      </c>
      <c r="K23" s="115">
        <f t="shared" si="2"/>
        <v>5.261750001072023</v>
      </c>
      <c r="L23" s="115">
        <f t="shared" si="2"/>
        <v>0</v>
      </c>
      <c r="M23" s="57"/>
      <c r="N23" s="72"/>
      <c r="Q23" s="73"/>
    </row>
    <row r="24" spans="1:17" ht="12.75">
      <c r="A24" s="112" t="s">
        <v>12</v>
      </c>
      <c r="B24" s="113">
        <f t="shared" si="1"/>
        <v>57085554.730000004</v>
      </c>
      <c r="C24" s="240">
        <v>23292929.14</v>
      </c>
      <c r="D24" s="240">
        <v>163072.46000000002</v>
      </c>
      <c r="E24" s="240">
        <f>state1!C25</f>
        <v>28036313.459999997</v>
      </c>
      <c r="F24" s="239">
        <f>fed1!B25-'table 6'!I25-'table 6'!H25</f>
        <v>5535914.34</v>
      </c>
      <c r="G24" s="240">
        <v>57325.33</v>
      </c>
      <c r="H24" s="280"/>
      <c r="I24" s="336">
        <f>IF(B24&lt;&gt;0,((+C24+D24)/B24*100),(IF(C24&lt;&gt;0,1,0)))</f>
        <v>41.08920673704733</v>
      </c>
      <c r="J24" s="336">
        <f t="shared" si="3"/>
        <v>49.112798487471224</v>
      </c>
      <c r="K24" s="115">
        <f t="shared" si="2"/>
        <v>9.697574747558207</v>
      </c>
      <c r="L24" s="115">
        <f t="shared" si="2"/>
        <v>0.1004200279232357</v>
      </c>
      <c r="M24" s="57"/>
      <c r="N24" s="72"/>
      <c r="Q24" s="73"/>
    </row>
    <row r="25" spans="1:17" ht="12.75">
      <c r="A25" s="112" t="s">
        <v>13</v>
      </c>
      <c r="B25" s="113">
        <f t="shared" si="1"/>
        <v>482599086.82</v>
      </c>
      <c r="C25" s="240">
        <v>210414800</v>
      </c>
      <c r="D25" s="240">
        <v>4610048.65</v>
      </c>
      <c r="E25" s="240">
        <f>state1!C26</f>
        <v>235764938.26</v>
      </c>
      <c r="F25" s="239">
        <f>fed1!B26-'table 6'!I26-'table 6'!H26</f>
        <v>26715368.990000006</v>
      </c>
      <c r="G25" s="240">
        <v>5093930.92</v>
      </c>
      <c r="H25" s="280"/>
      <c r="I25" s="336">
        <f>IF(B25&lt;&gt;0,((+C25+D25)/B25*100),(IF(C25&lt;&gt;0,1,0)))</f>
        <v>44.55558547921581</v>
      </c>
      <c r="J25" s="336">
        <f t="shared" si="3"/>
        <v>48.85316709020954</v>
      </c>
      <c r="K25" s="115">
        <f t="shared" si="2"/>
        <v>5.535727215324035</v>
      </c>
      <c r="L25" s="115">
        <f t="shared" si="2"/>
        <v>1.055520215250622</v>
      </c>
      <c r="M25" s="57"/>
      <c r="N25" s="72"/>
      <c r="Q25" s="73"/>
    </row>
    <row r="26" spans="1:17" ht="12.75">
      <c r="A26" s="112" t="s">
        <v>14</v>
      </c>
      <c r="B26" s="113">
        <f t="shared" si="1"/>
        <v>733342334.4900001</v>
      </c>
      <c r="C26" s="240">
        <v>457560424</v>
      </c>
      <c r="D26" s="240">
        <v>7284755</v>
      </c>
      <c r="E26" s="240">
        <f>state1!C27</f>
        <v>241708013.40000004</v>
      </c>
      <c r="F26" s="239">
        <f>fed1!B27-'table 6'!I27-'table 6'!H27</f>
        <v>26594142.089999996</v>
      </c>
      <c r="G26" s="240">
        <v>195000</v>
      </c>
      <c r="H26" s="280"/>
      <c r="I26" s="336">
        <f>IF(B26&lt;&gt;0,((+C26+D26)/B26*100),(IF(C26&lt;&gt;0,1,0)))</f>
        <v>63.387200920737065</v>
      </c>
      <c r="J26" s="336">
        <f t="shared" si="3"/>
        <v>32.95977908708828</v>
      </c>
      <c r="K26" s="115">
        <f t="shared" si="2"/>
        <v>3.626429409464651</v>
      </c>
      <c r="L26" s="115">
        <f t="shared" si="2"/>
        <v>0.026590582709998863</v>
      </c>
      <c r="M26" s="57"/>
      <c r="N26" s="72"/>
      <c r="Q26" s="73"/>
    </row>
    <row r="27" spans="1:17" ht="12.75">
      <c r="A27" s="112" t="s">
        <v>15</v>
      </c>
      <c r="B27" s="113">
        <f t="shared" si="1"/>
        <v>33512602.32</v>
      </c>
      <c r="C27" s="240">
        <v>17194706</v>
      </c>
      <c r="D27" s="240">
        <v>222544.79</v>
      </c>
      <c r="E27" s="240">
        <f>state1!C28</f>
        <v>12347557.68</v>
      </c>
      <c r="F27" s="239">
        <f>fed1!B28-'table 6'!I28-'table 6'!H28</f>
        <v>3747793.8500000006</v>
      </c>
      <c r="G27" s="240">
        <v>0</v>
      </c>
      <c r="H27" s="280"/>
      <c r="I27" s="336">
        <f>IF(B27&lt;&gt;0,((+C27+D27)/B27*100),(IF(C27&lt;&gt;0,1,0)))</f>
        <v>51.97224203506736</v>
      </c>
      <c r="J27" s="336">
        <f t="shared" si="3"/>
        <v>36.844520643600084</v>
      </c>
      <c r="K27" s="115">
        <f t="shared" si="3"/>
        <v>11.183237321332557</v>
      </c>
      <c r="L27" s="115">
        <f t="shared" si="3"/>
        <v>0</v>
      </c>
      <c r="M27" s="57"/>
      <c r="N27" s="72"/>
      <c r="Q27" s="73"/>
    </row>
    <row r="28" spans="1:14" ht="12.75">
      <c r="A28" s="112"/>
      <c r="B28" s="113"/>
      <c r="C28" s="240"/>
      <c r="D28" s="240"/>
      <c r="E28" s="383"/>
      <c r="F28" s="239"/>
      <c r="G28" s="240"/>
      <c r="H28" s="280"/>
      <c r="I28" s="336"/>
      <c r="J28" s="336"/>
      <c r="K28" s="115"/>
      <c r="L28" s="115"/>
      <c r="M28" s="57"/>
      <c r="N28" s="72"/>
    </row>
    <row r="29" spans="1:17" ht="12.75">
      <c r="A29" s="112" t="s">
        <v>16</v>
      </c>
      <c r="B29" s="113">
        <f t="shared" si="1"/>
        <v>2148743688.3399997</v>
      </c>
      <c r="C29" s="240">
        <v>1428500969.77</v>
      </c>
      <c r="D29" s="240">
        <v>13795896.609999998</v>
      </c>
      <c r="E29" s="240">
        <f>state1!C30</f>
        <v>585326955.0300001</v>
      </c>
      <c r="F29" s="239">
        <f>fed1!B30-'table 6'!I30-'table 6'!H30</f>
        <v>121005063.73999995</v>
      </c>
      <c r="G29" s="240">
        <f>-7947060.81+8061864</f>
        <v>114803.19000000041</v>
      </c>
      <c r="H29" s="280"/>
      <c r="I29" s="336">
        <f>IF(B29&lt;&gt;0,((+C29+D29)/B29*100),(IF(C29&lt;&gt;0,1,0)))</f>
        <v>67.12279711193653</v>
      </c>
      <c r="J29" s="336">
        <f aca="true" t="shared" si="4" ref="J29:L33">IF($B29&lt;&gt;0,(E29/$B29*100),(IF(E29&lt;&gt;0,1,0)))</f>
        <v>27.240426962333103</v>
      </c>
      <c r="K29" s="115">
        <f t="shared" si="4"/>
        <v>5.631433120507815</v>
      </c>
      <c r="L29" s="115">
        <f t="shared" si="4"/>
        <v>0.005342805222557326</v>
      </c>
      <c r="M29" s="57"/>
      <c r="N29" s="72"/>
      <c r="Q29" s="73"/>
    </row>
    <row r="30" spans="1:17" ht="12.75">
      <c r="A30" s="112" t="s">
        <v>17</v>
      </c>
      <c r="B30" s="113">
        <f t="shared" si="1"/>
        <v>1743283681.83</v>
      </c>
      <c r="C30" s="240">
        <v>616311976.05</v>
      </c>
      <c r="D30" s="240">
        <v>11678590.340000002</v>
      </c>
      <c r="E30" s="240">
        <f>state1!C31</f>
        <v>967523931.02</v>
      </c>
      <c r="F30" s="239">
        <f>fed1!B31-'table 6'!I31-'table 6'!H31</f>
        <v>147769184.42000002</v>
      </c>
      <c r="G30" s="240">
        <v>0</v>
      </c>
      <c r="H30" s="280"/>
      <c r="I30" s="336">
        <f>IF(B30&lt;&gt;0,((+C30+D30)/B30*100),(IF(C30&lt;&gt;0,1,0)))</f>
        <v>36.02342940139101</v>
      </c>
      <c r="J30" s="336">
        <f t="shared" si="4"/>
        <v>55.50008533346382</v>
      </c>
      <c r="K30" s="115">
        <f t="shared" si="4"/>
        <v>8.476485265145161</v>
      </c>
      <c r="L30" s="115">
        <f t="shared" si="4"/>
        <v>0</v>
      </c>
      <c r="M30" s="57"/>
      <c r="N30" s="72"/>
      <c r="Q30" s="73"/>
    </row>
    <row r="31" spans="1:17" ht="12.75">
      <c r="A31" s="112" t="s">
        <v>18</v>
      </c>
      <c r="B31" s="113">
        <f t="shared" si="1"/>
        <v>90661558.8</v>
      </c>
      <c r="C31" s="240">
        <v>47465625</v>
      </c>
      <c r="D31" s="236">
        <v>787297.23</v>
      </c>
      <c r="E31" s="240">
        <f>state1!C32</f>
        <v>35815668.49</v>
      </c>
      <c r="F31" s="239">
        <f>fed1!B32-'table 6'!I32-'table 6'!H32</f>
        <v>6592968.08</v>
      </c>
      <c r="G31" s="240">
        <v>0</v>
      </c>
      <c r="H31" s="280"/>
      <c r="I31" s="336">
        <f>IF(B31&lt;&gt;0,((+C31+D31)/B31*100),(IF(C31&lt;&gt;0,1,0)))</f>
        <v>53.22313323163378</v>
      </c>
      <c r="J31" s="336">
        <f t="shared" si="4"/>
        <v>39.50480111312624</v>
      </c>
      <c r="K31" s="115">
        <f t="shared" si="4"/>
        <v>7.27206565523998</v>
      </c>
      <c r="L31" s="115">
        <f t="shared" si="4"/>
        <v>0</v>
      </c>
      <c r="M31" s="57"/>
      <c r="N31" s="72"/>
      <c r="Q31" s="73"/>
    </row>
    <row r="32" spans="1:17" ht="12.75">
      <c r="A32" s="112" t="s">
        <v>19</v>
      </c>
      <c r="B32" s="113">
        <f t="shared" si="1"/>
        <v>200496294.95</v>
      </c>
      <c r="C32" s="240">
        <v>79195102</v>
      </c>
      <c r="D32" s="236">
        <v>824902.11</v>
      </c>
      <c r="E32" s="240">
        <f>state1!C33</f>
        <v>102410784.17</v>
      </c>
      <c r="F32" s="239">
        <f>fed1!B33-'table 6'!I33-'table 6'!H33</f>
        <v>17453735.630000006</v>
      </c>
      <c r="G32" s="240">
        <v>611771.04</v>
      </c>
      <c r="H32" s="280"/>
      <c r="I32" s="336">
        <f>IF(B32&lt;&gt;0,((+C32+D32)/B32*100),(IF(C32&lt;&gt;0,1,0)))</f>
        <v>39.91096400557201</v>
      </c>
      <c r="J32" s="336">
        <f t="shared" si="4"/>
        <v>51.078641725294396</v>
      </c>
      <c r="K32" s="115">
        <f t="shared" si="4"/>
        <v>8.705265917433856</v>
      </c>
      <c r="L32" s="115">
        <f t="shared" si="4"/>
        <v>0.305128351699748</v>
      </c>
      <c r="M32" s="57"/>
      <c r="N32" s="72"/>
      <c r="Q32" s="73"/>
    </row>
    <row r="33" spans="1:17" ht="12.75">
      <c r="A33" s="112" t="s">
        <v>20</v>
      </c>
      <c r="B33" s="113">
        <f t="shared" si="1"/>
        <v>41184973.81999999</v>
      </c>
      <c r="C33" s="240">
        <v>8740421.52</v>
      </c>
      <c r="D33" s="240">
        <v>260193.84</v>
      </c>
      <c r="E33" s="240">
        <f>state1!C34</f>
        <v>25920535.509999998</v>
      </c>
      <c r="F33" s="239">
        <f>fed1!B34-'table 6'!I34-'table 6'!H34</f>
        <v>6263822.949999999</v>
      </c>
      <c r="G33" s="240">
        <v>0</v>
      </c>
      <c r="H33" s="280"/>
      <c r="I33" s="336">
        <f>IF(B33&lt;&gt;0,((+C33+D33)/B33*100),(IF(C33&lt;&gt;0,1,0)))</f>
        <v>21.854124271967308</v>
      </c>
      <c r="J33" s="336">
        <f t="shared" si="4"/>
        <v>62.936875044006044</v>
      </c>
      <c r="K33" s="115">
        <f t="shared" si="4"/>
        <v>15.209000684026657</v>
      </c>
      <c r="L33" s="115">
        <f t="shared" si="4"/>
        <v>0</v>
      </c>
      <c r="M33" s="57"/>
      <c r="N33" s="72"/>
      <c r="Q33" s="73"/>
    </row>
    <row r="34" spans="1:14" ht="12.75">
      <c r="A34" s="112"/>
      <c r="B34" s="113"/>
      <c r="C34" s="270"/>
      <c r="D34" s="240"/>
      <c r="E34" s="240"/>
      <c r="F34" s="239"/>
      <c r="G34" s="240"/>
      <c r="H34" s="280"/>
      <c r="I34" s="336"/>
      <c r="J34" s="336"/>
      <c r="K34" s="115"/>
      <c r="L34" s="115"/>
      <c r="M34" s="57"/>
      <c r="N34" s="72"/>
    </row>
    <row r="35" spans="1:17" ht="12.75">
      <c r="A35" s="112" t="s">
        <v>21</v>
      </c>
      <c r="B35" s="113">
        <f t="shared" si="1"/>
        <v>52479281.660000004</v>
      </c>
      <c r="C35" s="240">
        <v>34219073</v>
      </c>
      <c r="D35" s="240">
        <v>650358.9899999999</v>
      </c>
      <c r="E35" s="240">
        <f>state1!C36</f>
        <v>13813664.749999998</v>
      </c>
      <c r="F35" s="239">
        <f>fed1!B36-'table 6'!I36-'table 6'!H36</f>
        <v>3795040.7500000005</v>
      </c>
      <c r="G35" s="240">
        <v>1144.17</v>
      </c>
      <c r="H35" s="280"/>
      <c r="I35" s="336">
        <f>IF(B35&lt;&gt;0,((+C35+D35)/B35*100),(IF(C35&lt;&gt;0,1,0)))</f>
        <v>66.44418690009942</v>
      </c>
      <c r="J35" s="336">
        <f aca="true" t="shared" si="5" ref="J35:L38">IF($B35&lt;&gt;0,(E35/$B35*100),(IF(E35&lt;&gt;0,1,0)))</f>
        <v>26.32213001598467</v>
      </c>
      <c r="K35" s="115">
        <f t="shared" si="5"/>
        <v>7.23150285209144</v>
      </c>
      <c r="L35" s="115">
        <f t="shared" si="5"/>
        <v>0.002180231824461295</v>
      </c>
      <c r="M35" s="57"/>
      <c r="N35" s="72"/>
      <c r="Q35" s="73"/>
    </row>
    <row r="36" spans="1:17" ht="12.75">
      <c r="A36" s="112" t="s">
        <v>22</v>
      </c>
      <c r="B36" s="113">
        <f t="shared" si="1"/>
        <v>264479220.05</v>
      </c>
      <c r="C36" s="240">
        <v>89573978.24</v>
      </c>
      <c r="D36" s="240">
        <v>1131844.2500000002</v>
      </c>
      <c r="E36" s="240">
        <f>state1!C37</f>
        <v>154269452.88</v>
      </c>
      <c r="F36" s="239">
        <f>fed1!B37-'table 6'!I37-'table 6'!H37</f>
        <v>18660732.580000006</v>
      </c>
      <c r="G36" s="240">
        <v>843212.1000000001</v>
      </c>
      <c r="H36" s="280"/>
      <c r="I36" s="336">
        <f>IF(B36&lt;&gt;0,((+C36+D36)/B36*100),(IF(C36&lt;&gt;0,1,0)))</f>
        <v>34.296011033627515</v>
      </c>
      <c r="J36" s="336">
        <f t="shared" si="5"/>
        <v>58.329517476206725</v>
      </c>
      <c r="K36" s="115">
        <f t="shared" si="5"/>
        <v>7.055651697880908</v>
      </c>
      <c r="L36" s="115">
        <f t="shared" si="5"/>
        <v>0.31881979228484947</v>
      </c>
      <c r="M36" s="57"/>
      <c r="N36" s="72"/>
      <c r="Q36" s="73"/>
    </row>
    <row r="37" spans="1:17" ht="12.75">
      <c r="A37" s="112" t="s">
        <v>23</v>
      </c>
      <c r="B37" s="113">
        <f t="shared" si="1"/>
        <v>192502801.09</v>
      </c>
      <c r="C37" s="240">
        <v>50781711</v>
      </c>
      <c r="D37" s="240">
        <v>2367825.73</v>
      </c>
      <c r="E37" s="240">
        <f>state1!C38</f>
        <v>124948911.61</v>
      </c>
      <c r="F37" s="239">
        <f>fed1!B38-'table 6'!I38-'table 6'!H38</f>
        <v>13647619.600000001</v>
      </c>
      <c r="G37" s="240">
        <v>756733.1499999999</v>
      </c>
      <c r="H37" s="280"/>
      <c r="I37" s="336">
        <f>IF(B37&lt;&gt;0,((+C37+D37)/B37*100),(IF(C37&lt;&gt;0,1,0)))</f>
        <v>27.609747197990757</v>
      </c>
      <c r="J37" s="336">
        <f t="shared" si="5"/>
        <v>64.90758103389008</v>
      </c>
      <c r="K37" s="115">
        <f t="shared" si="5"/>
        <v>7.089569358328136</v>
      </c>
      <c r="L37" s="115">
        <f t="shared" si="5"/>
        <v>0.3931024097910179</v>
      </c>
      <c r="M37" s="57"/>
      <c r="N37" s="72"/>
      <c r="Q37" s="73"/>
    </row>
    <row r="38" spans="1:17" ht="12.75">
      <c r="A38" s="118" t="s">
        <v>24</v>
      </c>
      <c r="B38" s="119">
        <f t="shared" si="1"/>
        <v>104060673.28</v>
      </c>
      <c r="C38" s="242">
        <v>71954064</v>
      </c>
      <c r="D38" s="242">
        <v>754701.1900000001</v>
      </c>
      <c r="E38" s="242">
        <f>state1!C39</f>
        <v>23817936.43</v>
      </c>
      <c r="F38" s="242">
        <f>fed1!B39-'table 6'!I39-'table 6'!H39</f>
        <v>7533971.660000002</v>
      </c>
      <c r="G38" s="242">
        <v>0</v>
      </c>
      <c r="H38" s="363"/>
      <c r="I38" s="366">
        <f>IF(B38&lt;&gt;0,((+C38+D38)/B38*100),(IF(C38&lt;&gt;0,1,0)))</f>
        <v>69.87151139639445</v>
      </c>
      <c r="J38" s="366">
        <f t="shared" si="5"/>
        <v>22.888508866276673</v>
      </c>
      <c r="K38" s="121">
        <f t="shared" si="5"/>
        <v>7.2399797373288735</v>
      </c>
      <c r="L38" s="121">
        <f t="shared" si="5"/>
        <v>0</v>
      </c>
      <c r="M38" s="57"/>
      <c r="N38" s="72"/>
      <c r="Q38" s="73"/>
    </row>
    <row r="39" spans="1:17" ht="12.75">
      <c r="A39" s="103"/>
      <c r="B39" s="113"/>
      <c r="C39" s="165"/>
      <c r="D39" s="165"/>
      <c r="E39" s="114"/>
      <c r="F39" s="114"/>
      <c r="G39" s="165"/>
      <c r="H39" s="113"/>
      <c r="I39" s="115"/>
      <c r="J39" s="115"/>
      <c r="K39" s="115"/>
      <c r="L39" s="115"/>
      <c r="M39" s="57"/>
      <c r="N39" s="72"/>
      <c r="Q39" s="73"/>
    </row>
    <row r="40" spans="1:12" ht="12.75">
      <c r="A40" s="384" t="s">
        <v>291</v>
      </c>
      <c r="C40" s="112"/>
      <c r="D40" s="116"/>
      <c r="E40" s="112"/>
      <c r="F40" s="112"/>
      <c r="G40" s="112"/>
      <c r="H40" s="112"/>
      <c r="I40" s="167"/>
      <c r="J40" s="167"/>
      <c r="K40" s="167"/>
      <c r="L40" s="112"/>
    </row>
    <row r="41" spans="1:256" ht="12.75">
      <c r="A41" s="55" t="s">
        <v>292</v>
      </c>
      <c r="B41" s="55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12" ht="12.75">
      <c r="A42" s="54" t="s">
        <v>293</v>
      </c>
      <c r="C42" s="112"/>
      <c r="D42" s="116"/>
      <c r="E42" s="112"/>
      <c r="F42" s="112"/>
      <c r="G42" s="112"/>
      <c r="H42" s="112"/>
      <c r="I42" s="112"/>
      <c r="J42" s="112"/>
      <c r="K42" s="112"/>
      <c r="L42" s="112"/>
    </row>
    <row r="43" spans="1:12" ht="12.75">
      <c r="A43" s="123"/>
      <c r="C43" s="112"/>
      <c r="D43" s="116"/>
      <c r="E43" s="112"/>
      <c r="F43" s="112"/>
      <c r="G43" s="112"/>
      <c r="H43" s="112"/>
      <c r="I43" s="112"/>
      <c r="J43" s="112"/>
      <c r="K43" s="112"/>
      <c r="L43" s="112"/>
    </row>
    <row r="44" spans="1:12" ht="12.75">
      <c r="A44" s="123"/>
      <c r="C44" s="63"/>
      <c r="D44" s="116"/>
      <c r="E44" s="112"/>
      <c r="F44" s="112"/>
      <c r="G44" s="112"/>
      <c r="H44" s="112"/>
      <c r="I44" s="112"/>
      <c r="J44" s="112"/>
      <c r="K44" s="112"/>
      <c r="L44" s="112"/>
    </row>
    <row r="45" spans="3:12" ht="12.75">
      <c r="C45" s="221"/>
      <c r="D45" s="116"/>
      <c r="E45" s="112"/>
      <c r="F45" s="112"/>
      <c r="G45" s="112"/>
      <c r="H45" s="112"/>
      <c r="I45" s="112"/>
      <c r="J45" s="112"/>
      <c r="K45" s="112"/>
      <c r="L45" s="112"/>
    </row>
    <row r="46" spans="3:12" ht="12.75">
      <c r="C46" s="112"/>
      <c r="D46" s="116"/>
      <c r="E46" s="112"/>
      <c r="F46" s="112"/>
      <c r="G46" s="112"/>
      <c r="H46" s="112"/>
      <c r="I46" s="112"/>
      <c r="J46" s="112"/>
      <c r="K46" s="112"/>
      <c r="L46" s="112"/>
    </row>
    <row r="47" spans="3:12" ht="12.75">
      <c r="C47" s="112"/>
      <c r="D47" s="116"/>
      <c r="E47" s="112"/>
      <c r="F47" s="112"/>
      <c r="G47" s="112"/>
      <c r="H47" s="112"/>
      <c r="I47" s="112"/>
      <c r="J47" s="112"/>
      <c r="K47" s="112"/>
      <c r="L47" s="112"/>
    </row>
  </sheetData>
  <sheetProtection password="CAF5" sheet="1" objects="1" scenarios="1"/>
  <mergeCells count="6">
    <mergeCell ref="C7:D7"/>
    <mergeCell ref="C6:F6"/>
    <mergeCell ref="I6:L6"/>
    <mergeCell ref="A1:L1"/>
    <mergeCell ref="A3:L3"/>
    <mergeCell ref="A4:L4"/>
  </mergeCells>
  <printOptions/>
  <pageMargins left="0.69" right="0.24" top="1" bottom="1" header="0.5" footer="0.5"/>
  <pageSetup fitToHeight="1" fitToWidth="1" horizontalDpi="600" verticalDpi="600" orientation="landscape" scale="87" r:id="rId1"/>
  <headerFooter scaleWithDoc="0" alignWithMargins="0">
    <oddFooter>&amp;L&amp;"Arial,Italic"MSDE - LFRO  10  / 2011&amp;C- 2 -&amp;R&amp;"Arial,Italic"Selected Financial Data-Part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7">
      <selection activeCell="G12" sqref="G12"/>
    </sheetView>
  </sheetViews>
  <sheetFormatPr defaultColWidth="9.140625" defaultRowHeight="12.75"/>
  <cols>
    <col min="1" max="1" width="14.140625" style="0" customWidth="1"/>
    <col min="2" max="2" width="16.421875" style="0" customWidth="1"/>
    <col min="3" max="3" width="16.140625" style="0" customWidth="1"/>
    <col min="4" max="4" width="14.57421875" style="0" customWidth="1"/>
    <col min="5" max="5" width="15.28125" style="0" customWidth="1"/>
    <col min="6" max="6" width="2.7109375" style="0" customWidth="1"/>
    <col min="7" max="7" width="13.00390625" style="0" customWidth="1"/>
    <col min="8" max="8" width="11.7109375" style="0" customWidth="1"/>
    <col min="9" max="9" width="12.7109375" style="0" customWidth="1"/>
    <col min="10" max="10" width="13.140625" style="0" customWidth="1"/>
  </cols>
  <sheetData>
    <row r="1" spans="1:10" ht="12.75">
      <c r="A1" s="403" t="s">
        <v>109</v>
      </c>
      <c r="B1" s="403"/>
      <c r="C1" s="403"/>
      <c r="D1" s="403"/>
      <c r="E1" s="403"/>
      <c r="F1" s="403"/>
      <c r="G1" s="403"/>
      <c r="H1" s="403"/>
      <c r="I1" s="403"/>
      <c r="J1" s="403"/>
    </row>
    <row r="3" spans="1:10" ht="12.75">
      <c r="A3" s="403" t="s">
        <v>230</v>
      </c>
      <c r="B3" s="403"/>
      <c r="C3" s="403"/>
      <c r="D3" s="403"/>
      <c r="E3" s="403"/>
      <c r="F3" s="403"/>
      <c r="G3" s="403"/>
      <c r="H3" s="403"/>
      <c r="I3" s="403"/>
      <c r="J3" s="403"/>
    </row>
    <row r="4" spans="1:10" ht="12.75">
      <c r="A4" s="398" t="s">
        <v>280</v>
      </c>
      <c r="B4" s="403"/>
      <c r="C4" s="403"/>
      <c r="D4" s="403"/>
      <c r="E4" s="403"/>
      <c r="F4" s="403"/>
      <c r="G4" s="403"/>
      <c r="H4" s="403"/>
      <c r="I4" s="403"/>
      <c r="J4" s="403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 thickTop="1">
      <c r="A6" s="3"/>
      <c r="B6" s="479" t="s">
        <v>183</v>
      </c>
      <c r="C6" s="479"/>
      <c r="D6" s="479"/>
      <c r="E6" s="479"/>
      <c r="F6" s="219"/>
      <c r="G6" s="444" t="s">
        <v>184</v>
      </c>
      <c r="H6" s="444"/>
      <c r="I6" s="444"/>
      <c r="J6" s="444"/>
    </row>
    <row r="7" spans="1:10" ht="12.75">
      <c r="A7" s="3" t="s">
        <v>80</v>
      </c>
      <c r="B7" s="4"/>
      <c r="C7" s="83" t="s">
        <v>112</v>
      </c>
      <c r="D7" s="4" t="s">
        <v>34</v>
      </c>
      <c r="E7" s="4"/>
      <c r="F7" s="4"/>
      <c r="G7" s="4"/>
      <c r="H7" s="4"/>
      <c r="I7" s="4" t="s">
        <v>34</v>
      </c>
      <c r="J7" s="4"/>
    </row>
    <row r="8" spans="1:10" ht="12.75">
      <c r="A8" s="3" t="s">
        <v>33</v>
      </c>
      <c r="B8" s="4" t="s">
        <v>111</v>
      </c>
      <c r="C8" s="82" t="s">
        <v>58</v>
      </c>
      <c r="D8" s="4" t="s">
        <v>39</v>
      </c>
      <c r="E8" s="4" t="s">
        <v>41</v>
      </c>
      <c r="F8" s="4"/>
      <c r="G8" s="4" t="s">
        <v>111</v>
      </c>
      <c r="H8" s="4" t="s">
        <v>112</v>
      </c>
      <c r="I8" s="4" t="s">
        <v>39</v>
      </c>
      <c r="J8" s="4" t="s">
        <v>41</v>
      </c>
    </row>
    <row r="9" spans="1:10" ht="13.5" thickBot="1">
      <c r="A9" s="7" t="s">
        <v>137</v>
      </c>
      <c r="B9" s="8" t="s">
        <v>45</v>
      </c>
      <c r="C9" s="214"/>
      <c r="D9" s="8" t="s">
        <v>40</v>
      </c>
      <c r="E9" s="8" t="s">
        <v>38</v>
      </c>
      <c r="F9" s="8"/>
      <c r="G9" s="8" t="s">
        <v>45</v>
      </c>
      <c r="H9" s="8" t="s">
        <v>121</v>
      </c>
      <c r="I9" s="8" t="s">
        <v>40</v>
      </c>
      <c r="J9" s="8" t="s">
        <v>38</v>
      </c>
    </row>
    <row r="10" spans="1:10" ht="12.75">
      <c r="A10" s="3" t="s">
        <v>0</v>
      </c>
      <c r="B10" s="10">
        <f>SUM(B12:B39)</f>
        <v>5895797411.84</v>
      </c>
      <c r="C10" s="10">
        <f>SUM(C12:C39)</f>
        <v>5329281690.6</v>
      </c>
      <c r="D10" s="10">
        <f>SUM(D12:D39)</f>
        <v>122019029.46000001</v>
      </c>
      <c r="E10" s="10">
        <f>SUM(E12:E39)</f>
        <v>444496691.78</v>
      </c>
      <c r="F10" s="10"/>
      <c r="G10" s="37">
        <f>+B10/(table11!$B9*1000)</f>
        <v>0.007633380423742316</v>
      </c>
      <c r="H10" s="37">
        <f>+C10/(table11!$B9*1000)</f>
        <v>0.006899903725989556</v>
      </c>
      <c r="I10" s="37">
        <f>+D10/(table11!$B9*1000)</f>
        <v>0.0001579799314225958</v>
      </c>
      <c r="J10" s="37">
        <f>+E10/(table11!$B9*1000)</f>
        <v>0.0005754967663301646</v>
      </c>
    </row>
    <row r="11" spans="1:6" ht="12.75">
      <c r="A11" s="3"/>
      <c r="C11" s="4"/>
      <c r="D11" s="4"/>
      <c r="E11" s="4"/>
      <c r="F11" s="4"/>
    </row>
    <row r="12" spans="1:10" ht="12.75">
      <c r="A12" s="3" t="s">
        <v>1</v>
      </c>
      <c r="B12" s="1">
        <f aca="true" t="shared" si="0" ref="B12:B39">SUM(C12:E12)</f>
        <v>28518901.13</v>
      </c>
      <c r="C12" s="41">
        <f>'table 2a'!C11</f>
        <v>28200314.15</v>
      </c>
      <c r="D12" s="2">
        <f>+table4!$C11</f>
        <v>318586.98</v>
      </c>
      <c r="E12" s="2">
        <f>+table5!$C11</f>
        <v>0</v>
      </c>
      <c r="F12" s="2"/>
      <c r="G12" s="36">
        <f>+B12/(table11!$B11*1000)*100</f>
        <v>0.7472410005345128</v>
      </c>
      <c r="H12" s="36">
        <f>+C12/(table11!$B11*1000)*100</f>
        <v>0.7388935101243004</v>
      </c>
      <c r="I12" s="36">
        <f>+D12/(table11!$B11*1000)*100</f>
        <v>0.008347490410212337</v>
      </c>
      <c r="J12" s="36">
        <f>+E12/(table11!$B11*1000)*100</f>
        <v>0</v>
      </c>
    </row>
    <row r="13" spans="1:10" ht="12.75">
      <c r="A13" s="3" t="s">
        <v>2</v>
      </c>
      <c r="B13" s="1">
        <f t="shared" si="0"/>
        <v>599821600</v>
      </c>
      <c r="C13" s="41">
        <f>'table 2a'!C12</f>
        <v>554023500</v>
      </c>
      <c r="D13" s="2">
        <f>+table4!$C12</f>
        <v>8367703</v>
      </c>
      <c r="E13" s="2">
        <f>+table5!$C12</f>
        <v>37430397</v>
      </c>
      <c r="F13" s="2"/>
      <c r="G13" s="36">
        <f>+B13/(table11!$B12*1000)*100</f>
        <v>0.6906438730309745</v>
      </c>
      <c r="H13" s="36">
        <f>+C13/(table11!$B12*1000)*100</f>
        <v>0.6379112319232519</v>
      </c>
      <c r="I13" s="36">
        <f>+D13/(table11!$B12*1000)*100</f>
        <v>0.009634702732100518</v>
      </c>
      <c r="J13" s="36">
        <f>+E13/(table11!$B12*1000)*100</f>
        <v>0.04309793837562196</v>
      </c>
    </row>
    <row r="14" spans="1:10" ht="12.75">
      <c r="A14" s="3" t="s">
        <v>3</v>
      </c>
      <c r="B14" s="1">
        <f t="shared" si="0"/>
        <v>224063284.77</v>
      </c>
      <c r="C14" s="41">
        <f>'table 2a'!C13</f>
        <v>203281019.73</v>
      </c>
      <c r="D14" s="2">
        <f>+table4!$C13</f>
        <v>14044869.77</v>
      </c>
      <c r="E14" s="2">
        <f>+table5!$C13</f>
        <v>6737395.27</v>
      </c>
      <c r="F14" s="2"/>
      <c r="G14" s="36">
        <f>+B14/(table11!$B13*1000)*100</f>
        <v>0.5867008978989655</v>
      </c>
      <c r="H14" s="36">
        <f>+C14/(table11!$B13*1000)*100</f>
        <v>0.5322833543381884</v>
      </c>
      <c r="I14" s="36">
        <f>+D14/(table11!$B13*1000)*100</f>
        <v>0.036775939053966394</v>
      </c>
      <c r="J14" s="36">
        <f>+E14/(table11!$B13*1000)*100</f>
        <v>0.017641604506810706</v>
      </c>
    </row>
    <row r="15" spans="1:10" ht="12.75">
      <c r="A15" s="3" t="s">
        <v>4</v>
      </c>
      <c r="B15" s="1">
        <f t="shared" si="0"/>
        <v>782084244</v>
      </c>
      <c r="C15" s="41">
        <f>'table 2a'!C14</f>
        <v>670737639</v>
      </c>
      <c r="D15" s="2">
        <f>+table4!$C14</f>
        <v>84414912</v>
      </c>
      <c r="E15" s="2">
        <f>+table5!$C14</f>
        <v>26931693</v>
      </c>
      <c r="F15" s="2"/>
      <c r="G15" s="36">
        <f>+B15/(table11!$B14*1000)*100</f>
        <v>0.878845384485465</v>
      </c>
      <c r="H15" s="36">
        <f>+C15/(table11!$B14*1000)*100</f>
        <v>0.7537227386412199</v>
      </c>
      <c r="I15" s="36">
        <f>+D15/(table11!$B14*1000)*100</f>
        <v>0.0948589060092952</v>
      </c>
      <c r="J15" s="36">
        <f>+E15/(table11!$B14*1000)*100</f>
        <v>0.03026373983494994</v>
      </c>
    </row>
    <row r="16" spans="1:10" ht="12.75">
      <c r="A16" s="3" t="s">
        <v>5</v>
      </c>
      <c r="B16" s="1">
        <f t="shared" si="0"/>
        <v>115969234</v>
      </c>
      <c r="C16" s="41">
        <f>'table 2a'!C15</f>
        <v>103615515</v>
      </c>
      <c r="D16" s="2">
        <f>+table4!$C15</f>
        <v>6087263.88</v>
      </c>
      <c r="E16" s="2">
        <f>+table5!$C15</f>
        <v>6266455.12</v>
      </c>
      <c r="F16" s="2"/>
      <c r="G16" s="36">
        <f>+B16/(table11!$B15*1000)*100</f>
        <v>0.8312430911466184</v>
      </c>
      <c r="H16" s="36">
        <f>+C16/(table11!$B15*1000)*100</f>
        <v>0.7426942302589392</v>
      </c>
      <c r="I16" s="36">
        <f>+D16/(table11!$B15*1000)*100</f>
        <v>0.043632227873785547</v>
      </c>
      <c r="J16" s="36">
        <f>+E16/(table11!$B15*1000)*100</f>
        <v>0.04491663301389361</v>
      </c>
    </row>
    <row r="17" spans="1:10" ht="12.75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 ht="12.75">
      <c r="A18" s="3" t="s">
        <v>6</v>
      </c>
      <c r="B18" s="1">
        <f t="shared" si="0"/>
        <v>12145724</v>
      </c>
      <c r="C18" s="41">
        <f>'table 2a'!C17</f>
        <v>12145724</v>
      </c>
      <c r="D18" s="2">
        <f>+table4!$C17</f>
        <v>0</v>
      </c>
      <c r="E18" s="2">
        <f>+table5!$C17</f>
        <v>0</v>
      </c>
      <c r="F18" s="2"/>
      <c r="G18" s="36">
        <f>+B18/(table11!$B17*1000)*100</f>
        <v>0.3796341913586093</v>
      </c>
      <c r="H18" s="36">
        <f>+C18/(table11!$B17*1000)*100</f>
        <v>0.3796341913586093</v>
      </c>
      <c r="I18" s="36">
        <f>+D18/(table11!$B17*1000)*100</f>
        <v>0</v>
      </c>
      <c r="J18" s="36">
        <f>+E18/(table11!$B17*1000)*100</f>
        <v>0</v>
      </c>
    </row>
    <row r="19" spans="1:10" ht="12.75">
      <c r="A19" s="3" t="s">
        <v>7</v>
      </c>
      <c r="B19" s="1">
        <f t="shared" si="0"/>
        <v>182392018.32</v>
      </c>
      <c r="C19" s="41">
        <f>'table 2a'!C18</f>
        <v>169601292</v>
      </c>
      <c r="D19" s="2">
        <f>+table4!$G18</f>
        <v>1226577.1199999999</v>
      </c>
      <c r="E19" s="2">
        <f>+table5!$C18</f>
        <v>11564149.2</v>
      </c>
      <c r="F19" s="2"/>
      <c r="G19" s="36">
        <f>+B19/(table11!$B18*1000)*100</f>
        <v>0.8255275995820403</v>
      </c>
      <c r="H19" s="36">
        <f>+C19/(table11!$B18*1000)*100</f>
        <v>0.767635276808711</v>
      </c>
      <c r="I19" s="36">
        <f>+D19/(table11!$B18*1000)*100</f>
        <v>0.0055516314524209605</v>
      </c>
      <c r="J19" s="36">
        <f>+E19/(table11!$B18*1000)*100</f>
        <v>0.052340691320908295</v>
      </c>
    </row>
    <row r="20" spans="1:10" ht="12.75">
      <c r="A20" s="3" t="s">
        <v>8</v>
      </c>
      <c r="B20" s="1">
        <f t="shared" si="0"/>
        <v>68385625</v>
      </c>
      <c r="C20" s="41">
        <f>'table 2a'!C19</f>
        <v>68385625</v>
      </c>
      <c r="D20" s="2">
        <f>+table4!$C19</f>
        <v>0</v>
      </c>
      <c r="E20" s="2">
        <f>+table5!$C19</f>
        <v>0</v>
      </c>
      <c r="F20" s="2"/>
      <c r="G20" s="36">
        <f>+B20/(table11!$B19*1000)*100</f>
        <v>0.6114314598616373</v>
      </c>
      <c r="H20" s="36">
        <f>+C20/(table11!$B19*1000)*100</f>
        <v>0.6114314598616373</v>
      </c>
      <c r="I20" s="36">
        <f>+D20/(table11!$B19*1000)*100</f>
        <v>0</v>
      </c>
      <c r="J20" s="36">
        <f>+E20/(table11!$B19*1000)*100</f>
        <v>0</v>
      </c>
    </row>
    <row r="21" spans="1:10" ht="12.75">
      <c r="A21" s="3" t="s">
        <v>209</v>
      </c>
      <c r="B21" s="1">
        <f t="shared" si="0"/>
        <v>149797573</v>
      </c>
      <c r="C21" s="41">
        <f>'table 2a'!C20</f>
        <v>145093200</v>
      </c>
      <c r="D21" s="2">
        <f>+table4!$C20</f>
        <v>0</v>
      </c>
      <c r="E21" s="2">
        <f>+table5!$C20</f>
        <v>4704373</v>
      </c>
      <c r="F21" s="2"/>
      <c r="G21" s="36">
        <f>+B21/(table11!$B20*1000)*100</f>
        <v>0.7534034496076328</v>
      </c>
      <c r="H21" s="36">
        <f>+C21/(table11!$B20*1000)*100</f>
        <v>0.7297429137560874</v>
      </c>
      <c r="I21" s="36">
        <f>+D21/(table11!$B20*1000)*100</f>
        <v>0</v>
      </c>
      <c r="J21" s="36">
        <f>+E21/(table11!$B20*1000)*100</f>
        <v>0.023660535851545532</v>
      </c>
    </row>
    <row r="22" spans="1:10" ht="12.75">
      <c r="A22" s="3" t="s">
        <v>10</v>
      </c>
      <c r="B22" s="1">
        <f t="shared" si="0"/>
        <v>17034817</v>
      </c>
      <c r="C22" s="41">
        <f>'table 2a'!C21</f>
        <v>17034817</v>
      </c>
      <c r="D22" s="2">
        <f>+table4!$C21</f>
        <v>0</v>
      </c>
      <c r="E22" s="2">
        <f>+table5!$C21</f>
        <v>0</v>
      </c>
      <c r="F22" s="2"/>
      <c r="G22" s="36">
        <f>+B22/(table11!$B21*1000)*100</f>
        <v>0.48288597985662085</v>
      </c>
      <c r="H22" s="36">
        <f>+C22/(table11!$B21*1000)*100</f>
        <v>0.48288597985662085</v>
      </c>
      <c r="I22" s="36">
        <f>+D22/(table11!$B21*1000)*100</f>
        <v>0</v>
      </c>
      <c r="J22" s="36">
        <f>+E22/(table11!$B21*1000)*100</f>
        <v>0</v>
      </c>
    </row>
    <row r="23" spans="1:10" ht="12.75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 ht="12.75">
      <c r="A24" s="3" t="s">
        <v>11</v>
      </c>
      <c r="B24" s="1">
        <f t="shared" si="0"/>
        <v>249633041</v>
      </c>
      <c r="C24" s="41">
        <f>'table 2a'!C23</f>
        <v>221957265</v>
      </c>
      <c r="D24" s="2">
        <f>+table4!$C23</f>
        <v>0</v>
      </c>
      <c r="E24" s="2">
        <f>+table5!$C23</f>
        <v>27675776</v>
      </c>
      <c r="F24" s="2"/>
      <c r="G24" s="36">
        <f>+B24/(table11!$B23*1000)*100</f>
        <v>0.7808511132787428</v>
      </c>
      <c r="H24" s="36">
        <f>+C24/(table11!$B23*1000)*100</f>
        <v>0.6942814011369389</v>
      </c>
      <c r="I24" s="36">
        <f>+D24/(table11!$B23*1000)*100</f>
        <v>0</v>
      </c>
      <c r="J24" s="36">
        <f>+E24/(table11!$B23*1000)*100</f>
        <v>0.08656971214180381</v>
      </c>
    </row>
    <row r="25" spans="1:10" ht="12.75">
      <c r="A25" s="3" t="s">
        <v>12</v>
      </c>
      <c r="B25" s="1">
        <f t="shared" si="0"/>
        <v>23562071.66</v>
      </c>
      <c r="C25" s="41">
        <f>'table 2a'!C24</f>
        <v>23292929.14</v>
      </c>
      <c r="D25" s="2">
        <f>+table4!$C24</f>
        <v>57325.33</v>
      </c>
      <c r="E25" s="2">
        <f>+table5!$C24</f>
        <v>211817.19</v>
      </c>
      <c r="F25" s="2"/>
      <c r="G25" s="36">
        <f>+B25/(table11!$B24*1000)*100</f>
        <v>0.5024116551814429</v>
      </c>
      <c r="H25" s="36">
        <f>+C25/(table11!$B24*1000)*100</f>
        <v>0.4966727566285427</v>
      </c>
      <c r="I25" s="36">
        <f>+D25/(table11!$B24*1000)*100</f>
        <v>0.0012223421753706028</v>
      </c>
      <c r="J25" s="36">
        <f>+E25/(table11!$B24*1000)*100</f>
        <v>0.004516556377529589</v>
      </c>
    </row>
    <row r="26" spans="1:10" ht="12.75">
      <c r="A26" s="3" t="s">
        <v>13</v>
      </c>
      <c r="B26" s="1">
        <f t="shared" si="0"/>
        <v>231369771.92</v>
      </c>
      <c r="C26" s="41">
        <f>'table 2a'!C25</f>
        <v>210414800</v>
      </c>
      <c r="D26" s="2">
        <f>+table4!$C25</f>
        <v>5093930.92</v>
      </c>
      <c r="E26" s="2">
        <f>+table5!$C25</f>
        <v>15861041</v>
      </c>
      <c r="F26" s="2"/>
      <c r="G26" s="36">
        <f>+B26/(table11!$B25*1000)*100</f>
        <v>0.8131608829339585</v>
      </c>
      <c r="H26" s="36">
        <f>+C26/(table11!$B25*1000)*100</f>
        <v>0.7395135636367113</v>
      </c>
      <c r="I26" s="36">
        <f>+D26/(table11!$B25*1000)*100</f>
        <v>0.017902880441720028</v>
      </c>
      <c r="J26" s="36">
        <f>+E26/(table11!$B25*1000)*100</f>
        <v>0.05574443885552721</v>
      </c>
    </row>
    <row r="27" spans="1:10" ht="12.75">
      <c r="A27" s="3" t="s">
        <v>14</v>
      </c>
      <c r="B27" s="1">
        <f t="shared" si="0"/>
        <v>492759873</v>
      </c>
      <c r="C27" s="41">
        <f>'table 2a'!C26</f>
        <v>457560424</v>
      </c>
      <c r="D27" s="2">
        <f>+table4!$C26</f>
        <v>195000</v>
      </c>
      <c r="E27" s="2">
        <f>+table5!$C26</f>
        <v>35004449</v>
      </c>
      <c r="F27" s="2"/>
      <c r="G27" s="36">
        <f>+B27/(table11!$B26*1000)*100</f>
        <v>0.9845413875323813</v>
      </c>
      <c r="H27" s="36">
        <f>+C27/(table11!$B26*1000)*100</f>
        <v>0.9142123768768499</v>
      </c>
      <c r="I27" s="36">
        <f>+D27/(table11!$B26*1000)*100</f>
        <v>0.0003896128339346625</v>
      </c>
      <c r="J27" s="36">
        <f>+E27/(table11!$B26*1000)*100</f>
        <v>0.06993939782159672</v>
      </c>
    </row>
    <row r="28" spans="1:10" ht="12.75">
      <c r="A28" s="3" t="s">
        <v>15</v>
      </c>
      <c r="B28" s="1">
        <f t="shared" si="0"/>
        <v>17194706</v>
      </c>
      <c r="C28" s="41">
        <f>'table 2a'!C27</f>
        <v>17194706</v>
      </c>
      <c r="D28" s="2">
        <f>+table4!$C27</f>
        <v>0</v>
      </c>
      <c r="E28" s="2">
        <f>+table5!$C27</f>
        <v>0</v>
      </c>
      <c r="F28" s="2"/>
      <c r="G28" s="36">
        <f>+B28/(table11!$B27*1000)*100</f>
        <v>0.5341508564732766</v>
      </c>
      <c r="H28" s="36">
        <f>+C28/(table11!$B27*1000)*100</f>
        <v>0.5341508564732766</v>
      </c>
      <c r="I28" s="36">
        <f>+D28/(table11!$B27*1000)*100</f>
        <v>0</v>
      </c>
      <c r="J28" s="36">
        <f>+E28/(table11!$B27*1000)*100</f>
        <v>0</v>
      </c>
    </row>
    <row r="29" spans="1:10" ht="12.75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 ht="12.75">
      <c r="A30" s="3" t="s">
        <v>16</v>
      </c>
      <c r="B30" s="1">
        <f t="shared" si="0"/>
        <v>1617768134.77</v>
      </c>
      <c r="C30" s="41">
        <f>'table 2a'!C29</f>
        <v>1428500969.77</v>
      </c>
      <c r="D30" s="2">
        <f>+table4!$C29</f>
        <v>0</v>
      </c>
      <c r="E30" s="2">
        <f>+table5!$C29</f>
        <v>189267165</v>
      </c>
      <c r="F30" s="2"/>
      <c r="G30" s="36">
        <f>+B30/(table11!$B29*1000)*100</f>
        <v>0.8620530559559494</v>
      </c>
      <c r="H30" s="36">
        <f>+C30/(table11!$B29*1000)*100</f>
        <v>0.7611990865435988</v>
      </c>
      <c r="I30" s="36">
        <f>+D30/(table11!$B29*1000)*100</f>
        <v>0</v>
      </c>
      <c r="J30" s="36">
        <f>+E30/(table11!$B30*1000)*100</f>
        <v>0.1914347461726587</v>
      </c>
    </row>
    <row r="31" spans="1:10" ht="12.75">
      <c r="A31" s="3" t="s">
        <v>17</v>
      </c>
      <c r="B31" s="1">
        <f t="shared" si="0"/>
        <v>668792360.05</v>
      </c>
      <c r="C31" s="41">
        <f>'table 2a'!C30</f>
        <v>616311976.05</v>
      </c>
      <c r="D31" s="2">
        <f>+table4!$C30</f>
        <v>0</v>
      </c>
      <c r="E31" s="2">
        <f>+table5!$C30</f>
        <v>52480384</v>
      </c>
      <c r="F31" s="2"/>
      <c r="G31" s="36">
        <f>+B31/(table11!$B30*1000)*100</f>
        <v>0.6764517008979615</v>
      </c>
      <c r="H31" s="36">
        <f>+C31/(table11!$B30*1000)*100</f>
        <v>0.6233702855870507</v>
      </c>
      <c r="I31" s="36">
        <f>+D31/(table11!$B30*1000)*100</f>
        <v>0</v>
      </c>
      <c r="J31" s="36">
        <f>+E31/(table11!$B30*1000)*100</f>
        <v>0.053081415310910686</v>
      </c>
    </row>
    <row r="32" spans="1:10" ht="12.75">
      <c r="A32" s="3" t="s">
        <v>18</v>
      </c>
      <c r="B32" s="1">
        <f t="shared" si="0"/>
        <v>53615147</v>
      </c>
      <c r="C32" s="41">
        <f>'table 2a'!C31</f>
        <v>47465625</v>
      </c>
      <c r="D32" s="2">
        <f>+table4!$C31</f>
        <v>0</v>
      </c>
      <c r="E32" s="2">
        <f>+table5!$C31</f>
        <v>6149522</v>
      </c>
      <c r="F32" s="2"/>
      <c r="G32" s="36">
        <f>+B32/(table11!$B31*1000)*100</f>
        <v>0.592370446458156</v>
      </c>
      <c r="H32" s="36">
        <f>+C32/(table11!$B31*1000)*100</f>
        <v>0.5244270517931324</v>
      </c>
      <c r="I32" s="36">
        <f>+D32/(table11!$B31*1000)*100</f>
        <v>0</v>
      </c>
      <c r="J32" s="36">
        <f>+E32/(table11!$B31*1000)*100</f>
        <v>0.06794339466502353</v>
      </c>
    </row>
    <row r="33" spans="1:10" ht="12.75">
      <c r="A33" s="3" t="s">
        <v>19</v>
      </c>
      <c r="B33" s="1">
        <f t="shared" si="0"/>
        <v>85400610.04</v>
      </c>
      <c r="C33" s="41">
        <f>'table 2a'!C32</f>
        <v>79195102</v>
      </c>
      <c r="D33" s="2">
        <f>+table4!$C32</f>
        <v>611771.04</v>
      </c>
      <c r="E33" s="2">
        <f>+table5!$C32</f>
        <v>5593737</v>
      </c>
      <c r="F33" s="2"/>
      <c r="G33" s="36">
        <f>+B33/(table11!$B32*1000)*100</f>
        <v>0.6632922113740288</v>
      </c>
      <c r="H33" s="36">
        <f>+C33/(table11!$B32*1000)*100</f>
        <v>0.6150950714634001</v>
      </c>
      <c r="I33" s="36">
        <f>+D33/(table11!$B32*1000)*100</f>
        <v>0.004751523036968102</v>
      </c>
      <c r="J33" s="36">
        <f>+E33/(table11!$B32*1000)*100</f>
        <v>0.04344561687366051</v>
      </c>
    </row>
    <row r="34" spans="1:10" ht="12.75">
      <c r="A34" s="3" t="s">
        <v>20</v>
      </c>
      <c r="B34" s="1">
        <f t="shared" si="0"/>
        <v>8740421.52</v>
      </c>
      <c r="C34" s="41">
        <f>'table 2a'!C33</f>
        <v>8740421.52</v>
      </c>
      <c r="D34" s="2">
        <f>+table4!$C33</f>
        <v>0</v>
      </c>
      <c r="E34" s="2">
        <f>+table5!$C33</f>
        <v>0</v>
      </c>
      <c r="F34" s="2"/>
      <c r="G34" s="36">
        <f>+B34/(table11!$B33*1000)*100</f>
        <v>0.49730345484059457</v>
      </c>
      <c r="H34" s="36">
        <f>+C34/(table11!$B33*1000)*100</f>
        <v>0.49730345484059457</v>
      </c>
      <c r="I34" s="36">
        <f>+D34/(table11!$B33*1000)*100</f>
        <v>0</v>
      </c>
      <c r="J34" s="36">
        <f>+E34/(table11!$B33*1000)*100</f>
        <v>0</v>
      </c>
    </row>
    <row r="35" spans="1:10" ht="12.75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 ht="12.75">
      <c r="A36" s="3" t="s">
        <v>21</v>
      </c>
      <c r="B36" s="1">
        <f t="shared" si="0"/>
        <v>38011289.17</v>
      </c>
      <c r="C36" s="41">
        <f>'table 2a'!C35</f>
        <v>34219073</v>
      </c>
      <c r="D36" s="2">
        <f>+table4!$C35</f>
        <v>1144.17</v>
      </c>
      <c r="E36" s="2">
        <f>+table5!$C35</f>
        <v>3791072</v>
      </c>
      <c r="F36" s="2"/>
      <c r="G36" s="36">
        <f>+B36/(table11!$B35*1000)*100</f>
        <v>0.37477234826005934</v>
      </c>
      <c r="H36" s="36">
        <f>+C36/(table11!$B35*1000)*100</f>
        <v>0.33738298867310934</v>
      </c>
      <c r="I36" s="36">
        <f>+D36/(table11!$B35*1000)*100</f>
        <v>1.1280945399956087E-05</v>
      </c>
      <c r="J36" s="36">
        <f>+E36/(table11!$B35*1000)*100</f>
        <v>0.037378078641550044</v>
      </c>
    </row>
    <row r="37" spans="1:10" ht="12.75">
      <c r="A37" s="3" t="s">
        <v>22</v>
      </c>
      <c r="B37" s="1">
        <f t="shared" si="0"/>
        <v>96054630.33999999</v>
      </c>
      <c r="C37" s="41">
        <f>'table 2a'!C36</f>
        <v>89573978.24</v>
      </c>
      <c r="D37" s="2">
        <f>+table4!$C36</f>
        <v>843212.1000000001</v>
      </c>
      <c r="E37" s="2">
        <f>+table5!$C36</f>
        <v>5637440</v>
      </c>
      <c r="F37" s="2"/>
      <c r="G37" s="36">
        <f>+B37/(table11!$B36*1000)*100</f>
        <v>0.6456491851937092</v>
      </c>
      <c r="H37" s="36">
        <f>+C37/(table11!$B36*1000)*100</f>
        <v>0.6020882685249532</v>
      </c>
      <c r="I37" s="36">
        <f>+D37/(table11!$B36*1000)*100</f>
        <v>0.005667808031569346</v>
      </c>
      <c r="J37" s="36">
        <f>+E37/(table11!$B36*1000)*100</f>
        <v>0.037893108637186645</v>
      </c>
    </row>
    <row r="38" spans="1:10" ht="12.75">
      <c r="A38" s="3" t="s">
        <v>23</v>
      </c>
      <c r="B38" s="1">
        <f t="shared" si="0"/>
        <v>51538444.15</v>
      </c>
      <c r="C38" s="41">
        <f>'table 2a'!C37</f>
        <v>50781711</v>
      </c>
      <c r="D38" s="2">
        <f>+table4!$C37</f>
        <v>756733.1499999999</v>
      </c>
      <c r="E38" s="2">
        <f>+table5!$C37</f>
        <v>0</v>
      </c>
      <c r="F38" s="2"/>
      <c r="G38" s="36">
        <f>+B38/(table11!$B37*1000)*100</f>
        <v>0.6628871801157682</v>
      </c>
      <c r="H38" s="36">
        <f>+C38/(table11!$B37*1000)*100</f>
        <v>0.653154082577091</v>
      </c>
      <c r="I38" s="36">
        <f>+D38/(table11!$B37*1000)*100</f>
        <v>0.009733097538677302</v>
      </c>
      <c r="J38" s="36">
        <f>+E38/(table11!$B37*1000)*100</f>
        <v>0</v>
      </c>
    </row>
    <row r="39" spans="1:10" ht="12.75">
      <c r="A39" s="12" t="s">
        <v>24</v>
      </c>
      <c r="B39" s="14">
        <f t="shared" si="0"/>
        <v>81143890</v>
      </c>
      <c r="C39" s="42">
        <f>'table 2a'!C38</f>
        <v>71954064</v>
      </c>
      <c r="D39" s="13">
        <f>+table4!$C38</f>
        <v>0</v>
      </c>
      <c r="E39" s="13">
        <f>+table5!$C38</f>
        <v>9189826</v>
      </c>
      <c r="F39" s="13"/>
      <c r="G39" s="35">
        <f>+B39/(table11!$B38*1000)*100</f>
        <v>0.4205953611499026</v>
      </c>
      <c r="H39" s="35">
        <f>+C39/(table11!$B38*1000)*100</f>
        <v>0.3729614827965877</v>
      </c>
      <c r="I39" s="35">
        <f>+D39/(table11!$B38*1000)*100</f>
        <v>0</v>
      </c>
      <c r="J39" s="35">
        <f>+E39/(table11!$B38*1000)*100</f>
        <v>0.04763387835331489</v>
      </c>
    </row>
    <row r="40" spans="1:10" ht="12.75">
      <c r="A40" s="59"/>
      <c r="B40" s="1"/>
      <c r="G40" s="36"/>
      <c r="H40" s="36"/>
      <c r="I40" s="36"/>
      <c r="J40" s="36"/>
    </row>
    <row r="41" ht="12.75">
      <c r="A41" s="68"/>
    </row>
  </sheetData>
  <sheetProtection password="CAF5" sheet="1" objects="1" scenarios="1"/>
  <mergeCells count="5">
    <mergeCell ref="G6:J6"/>
    <mergeCell ref="A1:J1"/>
    <mergeCell ref="A3:J3"/>
    <mergeCell ref="A4:J4"/>
    <mergeCell ref="B6:E6"/>
  </mergeCells>
  <printOptions horizontalCentered="1"/>
  <pageMargins left="0.61" right="0.69" top="0.83" bottom="1" header="0.67" footer="0.5"/>
  <pageSetup fitToHeight="1" fitToWidth="1" horizontalDpi="600" verticalDpi="600" orientation="landscape" scale="97" r:id="rId1"/>
  <headerFooter scaleWithDoc="0" alignWithMargins="0">
    <oddHeader>&amp;R
</oddHeader>
    <oddFooter>&amp;L&amp;"Arial,Italic"MSDE - LFRO  10 / 2011&amp;C- 20 -&amp;R&amp;"Arial,Italic"Selected Financial Data-Part 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5">
      <selection activeCell="A4" sqref="A4:J4"/>
    </sheetView>
  </sheetViews>
  <sheetFormatPr defaultColWidth="9.140625" defaultRowHeight="12.75"/>
  <cols>
    <col min="1" max="1" width="14.28125" style="0" bestFit="1" customWidth="1"/>
    <col min="2" max="3" width="15.00390625" style="0" bestFit="1" customWidth="1"/>
    <col min="4" max="5" width="13.421875" style="0" bestFit="1" customWidth="1"/>
    <col min="6" max="6" width="4.7109375" style="0" customWidth="1"/>
    <col min="7" max="7" width="11.7109375" style="0" customWidth="1"/>
    <col min="8" max="8" width="11.421875" style="0" customWidth="1"/>
    <col min="9" max="9" width="11.140625" style="0" customWidth="1"/>
    <col min="10" max="10" width="12.7109375" style="0" customWidth="1"/>
  </cols>
  <sheetData>
    <row r="1" spans="1:10" ht="12.75">
      <c r="A1" s="403" t="s">
        <v>231</v>
      </c>
      <c r="B1" s="403"/>
      <c r="C1" s="403"/>
      <c r="D1" s="403"/>
      <c r="E1" s="403"/>
      <c r="F1" s="403"/>
      <c r="G1" s="403"/>
      <c r="H1" s="403"/>
      <c r="I1" s="403"/>
      <c r="J1" s="403"/>
    </row>
    <row r="3" spans="1:10" ht="12.75">
      <c r="A3" s="403" t="s">
        <v>230</v>
      </c>
      <c r="B3" s="403"/>
      <c r="C3" s="403"/>
      <c r="D3" s="403"/>
      <c r="E3" s="403"/>
      <c r="F3" s="403"/>
      <c r="G3" s="403"/>
      <c r="H3" s="403"/>
      <c r="I3" s="403"/>
      <c r="J3" s="403"/>
    </row>
    <row r="4" spans="1:10" ht="12.75">
      <c r="A4" s="398" t="s">
        <v>280</v>
      </c>
      <c r="B4" s="403"/>
      <c r="C4" s="403"/>
      <c r="D4" s="403"/>
      <c r="E4" s="403"/>
      <c r="F4" s="403"/>
      <c r="G4" s="403"/>
      <c r="H4" s="403"/>
      <c r="I4" s="403"/>
      <c r="J4" s="403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3.5" thickTop="1">
      <c r="A6" s="3"/>
      <c r="B6" s="479" t="s">
        <v>183</v>
      </c>
      <c r="C6" s="479"/>
      <c r="D6" s="479"/>
      <c r="E6" s="479"/>
      <c r="F6" s="219"/>
      <c r="G6" s="444" t="s">
        <v>229</v>
      </c>
      <c r="H6" s="444"/>
      <c r="I6" s="444"/>
      <c r="J6" s="444"/>
    </row>
    <row r="7" spans="1:10" ht="12.75">
      <c r="A7" s="3" t="s">
        <v>80</v>
      </c>
      <c r="B7" s="4"/>
      <c r="C7" s="83" t="s">
        <v>112</v>
      </c>
      <c r="D7" s="4" t="s">
        <v>34</v>
      </c>
      <c r="E7" s="4"/>
      <c r="F7" s="4"/>
      <c r="G7" s="4"/>
      <c r="H7" s="4"/>
      <c r="I7" s="4" t="s">
        <v>34</v>
      </c>
      <c r="J7" s="4"/>
    </row>
    <row r="8" spans="1:10" ht="12.75">
      <c r="A8" s="3" t="s">
        <v>33</v>
      </c>
      <c r="B8" s="4" t="s">
        <v>111</v>
      </c>
      <c r="C8" s="82" t="s">
        <v>58</v>
      </c>
      <c r="D8" s="4" t="s">
        <v>39</v>
      </c>
      <c r="E8" s="4" t="s">
        <v>41</v>
      </c>
      <c r="F8" s="4"/>
      <c r="G8" s="4" t="s">
        <v>111</v>
      </c>
      <c r="H8" s="4" t="s">
        <v>112</v>
      </c>
      <c r="I8" s="4" t="s">
        <v>39</v>
      </c>
      <c r="J8" s="4" t="s">
        <v>41</v>
      </c>
    </row>
    <row r="9" spans="1:10" ht="13.5" thickBot="1">
      <c r="A9" s="7" t="s">
        <v>137</v>
      </c>
      <c r="B9" s="8" t="s">
        <v>45</v>
      </c>
      <c r="C9" s="214"/>
      <c r="D9" s="8" t="s">
        <v>40</v>
      </c>
      <c r="E9" s="8" t="s">
        <v>38</v>
      </c>
      <c r="F9" s="8"/>
      <c r="G9" s="8" t="s">
        <v>45</v>
      </c>
      <c r="H9" s="8" t="s">
        <v>121</v>
      </c>
      <c r="I9" s="8" t="s">
        <v>40</v>
      </c>
      <c r="J9" s="8" t="s">
        <v>38</v>
      </c>
    </row>
    <row r="10" spans="1:10" ht="12.75">
      <c r="A10" s="3" t="s">
        <v>0</v>
      </c>
      <c r="B10" s="10">
        <f>SUM(B12:B39)</f>
        <v>5895797411.84</v>
      </c>
      <c r="C10" s="10">
        <f>SUM(C12:C39)</f>
        <v>5329281690.6</v>
      </c>
      <c r="D10" s="10">
        <f>SUM(D12:D39)</f>
        <v>122019029.46000001</v>
      </c>
      <c r="E10" s="10">
        <f>SUM(E12:E39)</f>
        <v>444496691.78</v>
      </c>
      <c r="F10" s="10"/>
      <c r="G10" s="37">
        <f>+B10/table9!C10</f>
        <v>0.014291151785529848</v>
      </c>
      <c r="H10" s="37">
        <f>+C10/table9!C10</f>
        <v>0.012917942769753466</v>
      </c>
      <c r="I10" s="37">
        <f>+D10/table9!C10</f>
        <v>0.000295768722859099</v>
      </c>
      <c r="J10" s="37">
        <f>E10/table9!C10</f>
        <v>0.0010774402929172844</v>
      </c>
    </row>
    <row r="11" spans="1:6" ht="12.75">
      <c r="A11" s="3"/>
      <c r="C11" s="4"/>
      <c r="D11" s="4"/>
      <c r="E11" s="4"/>
      <c r="F11" s="4"/>
    </row>
    <row r="12" spans="1:10" ht="12.75">
      <c r="A12" s="3" t="s">
        <v>1</v>
      </c>
      <c r="B12" s="1">
        <f aca="true" t="shared" si="0" ref="B12:B39">SUM(C12:E12)</f>
        <v>28518901.13</v>
      </c>
      <c r="C12" s="41">
        <f>'table 2a'!C11</f>
        <v>28200314.15</v>
      </c>
      <c r="D12" s="2">
        <f>+table4!$C11</f>
        <v>318586.98</v>
      </c>
      <c r="E12" s="231">
        <f>+table5!$C11</f>
        <v>0</v>
      </c>
      <c r="F12" s="2"/>
      <c r="G12" s="36">
        <f>+B12/table9!C12*100</f>
        <v>1.2840630561243966</v>
      </c>
      <c r="H12" s="36">
        <f>(+C12/table9!C12)*100</f>
        <v>1.2697186825696276</v>
      </c>
      <c r="I12" s="36">
        <f>(+D12/table9!C12)*100</f>
        <v>0.01434437355476894</v>
      </c>
      <c r="J12" s="36">
        <f>(E12/table9!C12)*100</f>
        <v>0</v>
      </c>
    </row>
    <row r="13" spans="1:10" ht="12.75">
      <c r="A13" s="3" t="s">
        <v>2</v>
      </c>
      <c r="B13" s="1">
        <f t="shared" si="0"/>
        <v>599821600</v>
      </c>
      <c r="C13" s="41">
        <f>'table 2a'!C12</f>
        <v>554023500</v>
      </c>
      <c r="D13" s="2">
        <f>+table4!$C12</f>
        <v>8367703</v>
      </c>
      <c r="E13" s="231">
        <f>+table5!$C12</f>
        <v>37430397</v>
      </c>
      <c r="F13" s="2"/>
      <c r="G13" s="36">
        <f>+B13/table9!C13*100</f>
        <v>1.3097115371429446</v>
      </c>
      <c r="H13" s="36">
        <f>(+C13/table9!C13)*100</f>
        <v>1.209711303824861</v>
      </c>
      <c r="I13" s="36">
        <f>(+D13/table9!C13)*100</f>
        <v>0.018270894476767146</v>
      </c>
      <c r="J13" s="36">
        <f>(E13/table9!C13)*100</f>
        <v>0.08172933884131661</v>
      </c>
    </row>
    <row r="14" spans="1:10" ht="12.75">
      <c r="A14" s="3" t="s">
        <v>3</v>
      </c>
      <c r="B14" s="1">
        <f t="shared" si="0"/>
        <v>224063284.77</v>
      </c>
      <c r="C14" s="41">
        <f>'table 2a'!C13</f>
        <v>203281019.73</v>
      </c>
      <c r="D14" s="2">
        <f>+table4!$C13</f>
        <v>14044869.77</v>
      </c>
      <c r="E14" s="231">
        <f>+table5!$C13</f>
        <v>6737395.27</v>
      </c>
      <c r="F14" s="2"/>
      <c r="G14" s="36">
        <f>+B14/table9!C14*100</f>
        <v>1.0579409443759786</v>
      </c>
      <c r="H14" s="36">
        <f>(+C14/table9!C14)*100</f>
        <v>0.9598150549637153</v>
      </c>
      <c r="I14" s="36">
        <f>(+D14/table9!C14)*100</f>
        <v>0.06631449147665477</v>
      </c>
      <c r="J14" s="36">
        <f>(E14/table9!C14)*100</f>
        <v>0.03181139793560857</v>
      </c>
    </row>
    <row r="15" spans="1:10" ht="12.75">
      <c r="A15" s="3" t="s">
        <v>4</v>
      </c>
      <c r="B15" s="1">
        <f t="shared" si="0"/>
        <v>782084244</v>
      </c>
      <c r="C15" s="41">
        <f>'table 2a'!C14</f>
        <v>670737639</v>
      </c>
      <c r="D15" s="2">
        <f>+table4!$C14</f>
        <v>84414912</v>
      </c>
      <c r="E15" s="231">
        <f>+table5!$C14</f>
        <v>26931693</v>
      </c>
      <c r="F15" s="2"/>
      <c r="G15" s="36">
        <f>+B15/table9!C15*100</f>
        <v>1.542312462793553</v>
      </c>
      <c r="H15" s="36">
        <f>(+C15/table9!C15)*100</f>
        <v>1.322730930626475</v>
      </c>
      <c r="I15" s="36">
        <f>(+D15/table9!C15)*100</f>
        <v>0.16647077577901065</v>
      </c>
      <c r="J15" s="36">
        <f>(E15/table9!C15)*100</f>
        <v>0.05311075638806744</v>
      </c>
    </row>
    <row r="16" spans="1:10" ht="12.75">
      <c r="A16" s="3" t="s">
        <v>5</v>
      </c>
      <c r="B16" s="1">
        <f t="shared" si="0"/>
        <v>115969234</v>
      </c>
      <c r="C16" s="41">
        <f>'table 2a'!C15</f>
        <v>103615515</v>
      </c>
      <c r="D16" s="2">
        <f>+table4!$C15</f>
        <v>6087263.88</v>
      </c>
      <c r="E16" s="231">
        <f>+table5!$C15</f>
        <v>6266455.12</v>
      </c>
      <c r="F16" s="2"/>
      <c r="G16" s="36">
        <f>+B16/table9!C16*100</f>
        <v>1.6165553758166986</v>
      </c>
      <c r="H16" s="36">
        <f>(+C16/table9!C16)*100</f>
        <v>1.4443504713609283</v>
      </c>
      <c r="I16" s="36">
        <f>(+D16/table9!C16)*100</f>
        <v>0.08485353235349312</v>
      </c>
      <c r="J16" s="36">
        <f>(E16/table9!C16)*100</f>
        <v>0.08735137210227736</v>
      </c>
    </row>
    <row r="17" spans="1:10" ht="12.75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 ht="12.75">
      <c r="A18" s="3" t="s">
        <v>6</v>
      </c>
      <c r="B18" s="1">
        <f t="shared" si="0"/>
        <v>12145724</v>
      </c>
      <c r="C18" s="41">
        <f>'table 2a'!C17</f>
        <v>12145724</v>
      </c>
      <c r="D18" s="2">
        <f>+table4!$C17</f>
        <v>0</v>
      </c>
      <c r="E18" s="231">
        <f>+table5!$C17</f>
        <v>0</v>
      </c>
      <c r="F18" s="2"/>
      <c r="G18" s="36">
        <f>+B18/table9!C18*100</f>
        <v>0.7553787007667379</v>
      </c>
      <c r="H18" s="36">
        <f>(+C18/table9!C18)*100</f>
        <v>0.7553787007667379</v>
      </c>
      <c r="I18" s="36">
        <f>(+D18/table9!C18)*100</f>
        <v>0</v>
      </c>
      <c r="J18" s="36">
        <f>(E18/table9!C18)*100</f>
        <v>0</v>
      </c>
    </row>
    <row r="19" spans="1:10" ht="12.75">
      <c r="A19" s="3" t="s">
        <v>7</v>
      </c>
      <c r="B19" s="1">
        <f t="shared" si="0"/>
        <v>182392018.32</v>
      </c>
      <c r="C19" s="41">
        <f>'table 2a'!C18</f>
        <v>169601292</v>
      </c>
      <c r="D19" s="2">
        <f>+table4!$G18</f>
        <v>1226577.1199999999</v>
      </c>
      <c r="E19" s="231">
        <f>+table5!$C18</f>
        <v>11564149.2</v>
      </c>
      <c r="F19" s="2"/>
      <c r="G19" s="36">
        <f>+B19/table9!C19*100</f>
        <v>1.5341348266027421</v>
      </c>
      <c r="H19" s="36">
        <f>(+C19/table9!C19)*100</f>
        <v>1.4265495337494714</v>
      </c>
      <c r="I19" s="36">
        <f>(+D19/table9!C19)*100</f>
        <v>0.010316979298977094</v>
      </c>
      <c r="J19" s="36">
        <f>(E19/table9!C19)*100</f>
        <v>0.09726831355429369</v>
      </c>
    </row>
    <row r="20" spans="1:10" ht="12.75">
      <c r="A20" s="3" t="s">
        <v>8</v>
      </c>
      <c r="B20" s="1">
        <f t="shared" si="0"/>
        <v>68385625</v>
      </c>
      <c r="C20" s="41">
        <f>'table 2a'!C19</f>
        <v>68385625</v>
      </c>
      <c r="D20" s="2">
        <f>+table4!$C19</f>
        <v>0</v>
      </c>
      <c r="E20" s="231">
        <f>+table5!$C19</f>
        <v>0</v>
      </c>
      <c r="F20" s="2"/>
      <c r="G20" s="36">
        <f>+B20/table9!C20*100</f>
        <v>1.15087505446056</v>
      </c>
      <c r="H20" s="36">
        <f>(+C20/table9!C20)*100</f>
        <v>1.15087505446056</v>
      </c>
      <c r="I20" s="36">
        <f>(+D20/table9!C20)*100</f>
        <v>0</v>
      </c>
      <c r="J20" s="36">
        <f>(E20/table9!C20)*100</f>
        <v>0</v>
      </c>
    </row>
    <row r="21" spans="1:10" ht="12.75">
      <c r="A21" s="3" t="s">
        <v>209</v>
      </c>
      <c r="B21" s="1">
        <f t="shared" si="0"/>
        <v>149797573</v>
      </c>
      <c r="C21" s="41">
        <f>'table 2a'!C20</f>
        <v>145093200</v>
      </c>
      <c r="D21" s="2">
        <f>+table4!$C20</f>
        <v>0</v>
      </c>
      <c r="E21" s="231">
        <f>+table5!$C20</f>
        <v>4704373</v>
      </c>
      <c r="F21" s="2"/>
      <c r="G21" s="36">
        <f>+B21/table9!C21*100</f>
        <v>1.4702936992167823</v>
      </c>
      <c r="H21" s="36">
        <f>(+C21/table9!C21)*100</f>
        <v>1.4241193197382473</v>
      </c>
      <c r="I21" s="36">
        <f>(+D21/table9!C21)*100</f>
        <v>0</v>
      </c>
      <c r="J21" s="36">
        <f>(E21/table9!C21)*100</f>
        <v>0.046174379478535026</v>
      </c>
    </row>
    <row r="22" spans="1:10" ht="12.75">
      <c r="A22" s="3" t="s">
        <v>10</v>
      </c>
      <c r="B22" s="1">
        <f t="shared" si="0"/>
        <v>17034817</v>
      </c>
      <c r="C22" s="41">
        <f>'table 2a'!C21</f>
        <v>17034817</v>
      </c>
      <c r="D22" s="2">
        <f>+table4!$C21</f>
        <v>0</v>
      </c>
      <c r="E22" s="231">
        <f>+table5!$C21</f>
        <v>0</v>
      </c>
      <c r="F22" s="2"/>
      <c r="G22" s="36">
        <f>+B22/table9!C22*100</f>
        <v>0.974125278026404</v>
      </c>
      <c r="H22" s="36">
        <f>(+C22/table9!C22)*100</f>
        <v>0.974125278026404</v>
      </c>
      <c r="I22" s="36">
        <f>(+D22/table9!C22)*100</f>
        <v>0</v>
      </c>
      <c r="J22" s="36">
        <f>(E22/table9!C22)*100</f>
        <v>0</v>
      </c>
    </row>
    <row r="23" spans="1:10" ht="12.75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 ht="12.75">
      <c r="A24" s="3" t="s">
        <v>11</v>
      </c>
      <c r="B24" s="1">
        <f t="shared" si="0"/>
        <v>249633041</v>
      </c>
      <c r="C24" s="41">
        <f>'table 2a'!C23</f>
        <v>221957265</v>
      </c>
      <c r="D24" s="2">
        <f>+table4!$C23</f>
        <v>0</v>
      </c>
      <c r="E24" s="2">
        <f>+table5!$C23</f>
        <v>27675776</v>
      </c>
      <c r="F24" s="2"/>
      <c r="G24" s="36">
        <f>+B24/table9!C24*100</f>
        <v>1.4484459716163358</v>
      </c>
      <c r="H24" s="36">
        <f>(+C24/table9!C24)*100</f>
        <v>1.287862796817147</v>
      </c>
      <c r="I24" s="36">
        <f>(+D24/table9!C24)*100</f>
        <v>0</v>
      </c>
      <c r="J24" s="36">
        <f>(E24/table9!C24)*100</f>
        <v>0.16058317479918882</v>
      </c>
    </row>
    <row r="25" spans="1:10" ht="12.75">
      <c r="A25" s="3" t="s">
        <v>12</v>
      </c>
      <c r="B25" s="1">
        <f t="shared" si="0"/>
        <v>23562071.66</v>
      </c>
      <c r="C25" s="41">
        <f>'table 2a'!C24</f>
        <v>23292929.14</v>
      </c>
      <c r="D25" s="2">
        <f>+table4!$C24</f>
        <v>57325.33</v>
      </c>
      <c r="E25" s="2">
        <f>+table5!$C24</f>
        <v>211817.19</v>
      </c>
      <c r="F25" s="2"/>
      <c r="G25" s="36">
        <f>+B25/table9!C25*100</f>
        <v>1.0907564273056372</v>
      </c>
      <c r="H25" s="36">
        <f>(+C25/table9!C25)*100</f>
        <v>1.0782970418242828</v>
      </c>
      <c r="I25" s="36">
        <f>(+D25/table9!C25)*100</f>
        <v>0.002653755282947674</v>
      </c>
      <c r="J25" s="36">
        <f>(E25/table9!C25)*100</f>
        <v>0.009805630198406726</v>
      </c>
    </row>
    <row r="26" spans="1:10" ht="12.75">
      <c r="A26" s="3" t="s">
        <v>13</v>
      </c>
      <c r="B26" s="1">
        <f t="shared" si="0"/>
        <v>231369771.92</v>
      </c>
      <c r="C26" s="41">
        <f>'table 2a'!C25</f>
        <v>210414800</v>
      </c>
      <c r="D26" s="2">
        <f>+table4!$C25</f>
        <v>5093930.92</v>
      </c>
      <c r="E26" s="2">
        <f>+table5!$C25</f>
        <v>15861041</v>
      </c>
      <c r="F26" s="2"/>
      <c r="G26" s="36">
        <f>+B26/table9!C26*100</f>
        <v>1.476627959713492</v>
      </c>
      <c r="H26" s="36">
        <f>(+C26/table9!C26)*100</f>
        <v>1.342890967299539</v>
      </c>
      <c r="I26" s="36">
        <f>(+D26/table9!C26)*100</f>
        <v>0.03251004121628246</v>
      </c>
      <c r="J26" s="36">
        <f>(E26/table9!C26)*100</f>
        <v>0.10122695119767072</v>
      </c>
    </row>
    <row r="27" spans="1:10" ht="12.75">
      <c r="A27" s="3" t="s">
        <v>14</v>
      </c>
      <c r="B27" s="1">
        <f t="shared" si="0"/>
        <v>492759873</v>
      </c>
      <c r="C27" s="41">
        <f>'table 2a'!C26</f>
        <v>457560424</v>
      </c>
      <c r="D27" s="2">
        <f>+table4!$C26</f>
        <v>195000</v>
      </c>
      <c r="E27" s="2">
        <f>+table5!$C26</f>
        <v>35004449</v>
      </c>
      <c r="F27" s="2"/>
      <c r="G27" s="36">
        <f>+B27/table9!C27*100</f>
        <v>1.790281179244218</v>
      </c>
      <c r="H27" s="36">
        <f>(+C27/table9!C27)*100</f>
        <v>1.66239554058454</v>
      </c>
      <c r="I27" s="36">
        <f>(+D27/table9!C27)*100</f>
        <v>0.0007084684632034201</v>
      </c>
      <c r="J27" s="36">
        <f>(E27/table9!C27)*100</f>
        <v>0.12717717019647437</v>
      </c>
    </row>
    <row r="28" spans="1:10" ht="12.75">
      <c r="A28" s="3" t="s">
        <v>15</v>
      </c>
      <c r="B28" s="1">
        <f t="shared" si="0"/>
        <v>17194706</v>
      </c>
      <c r="C28" s="41">
        <f>'table 2a'!C27</f>
        <v>17194706</v>
      </c>
      <c r="D28" s="2">
        <f>+table4!$C27</f>
        <v>0</v>
      </c>
      <c r="E28" s="2">
        <f>+table5!$C27</f>
        <v>0</v>
      </c>
      <c r="F28" s="2"/>
      <c r="G28" s="36">
        <f>+B28/table9!C28*100</f>
        <v>1.114541929396682</v>
      </c>
      <c r="H28" s="36">
        <f>(+C28/table9!C28)*100</f>
        <v>1.114541929396682</v>
      </c>
      <c r="I28" s="36">
        <f>(+D28/table9!C28)*100</f>
        <v>0</v>
      </c>
      <c r="J28" s="36">
        <f>(E28/table9!C28)*100</f>
        <v>0</v>
      </c>
    </row>
    <row r="29" spans="1:10" ht="12.75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 ht="12.75">
      <c r="A30" s="3" t="s">
        <v>16</v>
      </c>
      <c r="B30" s="1">
        <f t="shared" si="0"/>
        <v>1617768134.77</v>
      </c>
      <c r="C30" s="41">
        <f>'table 2a'!C29</f>
        <v>1428500969.77</v>
      </c>
      <c r="D30" s="2">
        <f>+table4!$C29</f>
        <v>0</v>
      </c>
      <c r="E30" s="2">
        <f>+table5!$C29</f>
        <v>189267165</v>
      </c>
      <c r="F30" s="2"/>
      <c r="G30" s="36">
        <f>+B30/table9!C30*100</f>
        <v>1.5572366772470636</v>
      </c>
      <c r="H30" s="36">
        <f>(+C30/table9!C30)*100</f>
        <v>1.3750512547492502</v>
      </c>
      <c r="I30" s="36">
        <f>(+D30/table9!C30)*100</f>
        <v>0</v>
      </c>
      <c r="J30" s="36">
        <f>(E30/table9!C30)*100</f>
        <v>0.18218542249781325</v>
      </c>
    </row>
    <row r="31" spans="1:10" ht="12.75">
      <c r="A31" s="3" t="s">
        <v>17</v>
      </c>
      <c r="B31" s="1">
        <f t="shared" si="0"/>
        <v>668792360.05</v>
      </c>
      <c r="C31" s="41">
        <f>'table 2a'!C30</f>
        <v>616311976.05</v>
      </c>
      <c r="D31" s="2">
        <f>+table4!$C30</f>
        <v>0</v>
      </c>
      <c r="E31" s="2">
        <f>+table5!$C30</f>
        <v>52480384</v>
      </c>
      <c r="F31" s="2"/>
      <c r="G31" s="36">
        <f>+B31/table9!C31*100</f>
        <v>1.3894861582758389</v>
      </c>
      <c r="H31" s="36">
        <f>(+C31/table9!C31)*100</f>
        <v>1.280452665214481</v>
      </c>
      <c r="I31" s="36">
        <f>(+D31/table9!C31)*100</f>
        <v>0</v>
      </c>
      <c r="J31" s="36">
        <f>(E31/table9!C31)*100</f>
        <v>0.10903349306135783</v>
      </c>
    </row>
    <row r="32" spans="1:10" ht="12.75">
      <c r="A32" s="3" t="s">
        <v>18</v>
      </c>
      <c r="B32" s="1">
        <f t="shared" si="0"/>
        <v>53615147</v>
      </c>
      <c r="C32" s="41">
        <f>'table 2a'!C31</f>
        <v>47465625</v>
      </c>
      <c r="D32" s="2">
        <f>+table4!$C31</f>
        <v>0</v>
      </c>
      <c r="E32" s="2">
        <f>+table5!$C31</f>
        <v>6149522</v>
      </c>
      <c r="F32" s="2"/>
      <c r="G32" s="36">
        <f>+B32/table9!C32*100</f>
        <v>1.2134396205181153</v>
      </c>
      <c r="H32" s="36">
        <f>(+C32/table9!C32)*100</f>
        <v>1.0742611595871434</v>
      </c>
      <c r="I32" s="36">
        <f>(+D32/table9!C32)*100</f>
        <v>0</v>
      </c>
      <c r="J32" s="36">
        <f>(E32/table9!C32)*100</f>
        <v>0.13917846093097164</v>
      </c>
    </row>
    <row r="33" spans="1:10" ht="12.75">
      <c r="A33" s="3" t="s">
        <v>19</v>
      </c>
      <c r="B33" s="1">
        <f t="shared" si="0"/>
        <v>85400610.04</v>
      </c>
      <c r="C33" s="41">
        <f>'table 2a'!C32</f>
        <v>79195102</v>
      </c>
      <c r="D33" s="2">
        <f>+table4!$C32</f>
        <v>611771.04</v>
      </c>
      <c r="E33" s="2">
        <f>+table5!$C32</f>
        <v>5593737</v>
      </c>
      <c r="F33" s="2"/>
      <c r="G33" s="36">
        <f>+B33/table9!C33*100</f>
        <v>1.292996130408022</v>
      </c>
      <c r="H33" s="36">
        <f>(+C33/table9!C33)*100</f>
        <v>1.1990424937867177</v>
      </c>
      <c r="I33" s="36">
        <f>(+D33/table9!C33)*100</f>
        <v>0.009262434859015572</v>
      </c>
      <c r="J33" s="36">
        <f>(E33/table9!C33)*100</f>
        <v>0.08469120176228868</v>
      </c>
    </row>
    <row r="34" spans="1:10" ht="12.75">
      <c r="A34" s="3" t="s">
        <v>20</v>
      </c>
      <c r="B34" s="1">
        <f t="shared" si="0"/>
        <v>8740421.52</v>
      </c>
      <c r="C34" s="41">
        <f>'table 2a'!C33</f>
        <v>8740421.52</v>
      </c>
      <c r="D34" s="2">
        <f>+table4!$C33</f>
        <v>0</v>
      </c>
      <c r="E34" s="2">
        <f>+table5!$C33</f>
        <v>0</v>
      </c>
      <c r="F34" s="2"/>
      <c r="G34" s="36">
        <f>+B34/table9!C34*100</f>
        <v>0.9870369039557627</v>
      </c>
      <c r="H34" s="36">
        <f>(+C34/table9!C34)*100</f>
        <v>0.9870369039557627</v>
      </c>
      <c r="I34" s="36">
        <f>(+D34/table9!C34)*100</f>
        <v>0</v>
      </c>
      <c r="J34" s="36">
        <f>(E34/table9!C34)*100</f>
        <v>0</v>
      </c>
    </row>
    <row r="35" spans="1:10" ht="12.75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 ht="12.75">
      <c r="A36" s="3" t="s">
        <v>21</v>
      </c>
      <c r="B36" s="1">
        <f t="shared" si="0"/>
        <v>38011289.17</v>
      </c>
      <c r="C36" s="41">
        <f>'table 2a'!C35</f>
        <v>34219073</v>
      </c>
      <c r="D36" s="2">
        <f>+table4!$C35</f>
        <v>1144.17</v>
      </c>
      <c r="E36" s="2">
        <f>+table5!$C35</f>
        <v>3791072</v>
      </c>
      <c r="F36" s="2"/>
      <c r="G36" s="36">
        <f>+B36/table9!C36*100</f>
        <v>0.8177961670898882</v>
      </c>
      <c r="H36" s="36">
        <f>(+C36/table9!C36)*100</f>
        <v>0.7362083042123004</v>
      </c>
      <c r="I36" s="36">
        <f>(+D36/table9!C36)*100</f>
        <v>2.461631428269807E-05</v>
      </c>
      <c r="J36" s="36">
        <f>(E36/table9!C36)*100</f>
        <v>0.08156324656330503</v>
      </c>
    </row>
    <row r="37" spans="1:10" ht="12.75">
      <c r="A37" s="3" t="s">
        <v>22</v>
      </c>
      <c r="B37" s="1">
        <f t="shared" si="0"/>
        <v>96054630.33999999</v>
      </c>
      <c r="C37" s="41">
        <f>'table 2a'!C36</f>
        <v>89573978.24</v>
      </c>
      <c r="D37" s="2">
        <f>+table4!$C36</f>
        <v>843212.1000000001</v>
      </c>
      <c r="E37" s="2">
        <f>+table5!$C36</f>
        <v>5637440</v>
      </c>
      <c r="F37" s="2"/>
      <c r="G37" s="36">
        <f>+B37/table9!C37*100</f>
        <v>1.2151806475602318</v>
      </c>
      <c r="H37" s="36">
        <f>(+C37/table9!C37)*100</f>
        <v>1.133194355097128</v>
      </c>
      <c r="I37" s="36">
        <f>(+D37/table9!C37)*100</f>
        <v>0.010667419385007267</v>
      </c>
      <c r="J37" s="36">
        <f>(E37/table9!C37)*100</f>
        <v>0.07131887307809667</v>
      </c>
    </row>
    <row r="38" spans="1:10" ht="12.75">
      <c r="A38" s="3" t="s">
        <v>23</v>
      </c>
      <c r="B38" s="1">
        <f t="shared" si="0"/>
        <v>51538444.15</v>
      </c>
      <c r="C38" s="41">
        <f>'table 2a'!C37</f>
        <v>50781711</v>
      </c>
      <c r="D38" s="2">
        <f>+table4!$C37</f>
        <v>756733.1499999999</v>
      </c>
      <c r="E38" s="2">
        <f>+table5!$C37</f>
        <v>0</v>
      </c>
      <c r="F38" s="2"/>
      <c r="G38" s="36">
        <f>+B38/table9!C38*100</f>
        <v>1.1916009340805653</v>
      </c>
      <c r="H38" s="36">
        <f>(+C38/table9!C38)*100</f>
        <v>1.174104792253596</v>
      </c>
      <c r="I38" s="36">
        <f>(+D38/table9!C38)*100</f>
        <v>0.01749614182696915</v>
      </c>
      <c r="J38" s="36">
        <f>(E38/table9!C38)*100</f>
        <v>0</v>
      </c>
    </row>
    <row r="39" spans="1:10" ht="12.75">
      <c r="A39" s="12" t="s">
        <v>24</v>
      </c>
      <c r="B39" s="14">
        <f t="shared" si="0"/>
        <v>81143890</v>
      </c>
      <c r="C39" s="42">
        <f>'table 2a'!C38</f>
        <v>71954064</v>
      </c>
      <c r="D39" s="13">
        <f>+table4!$C38</f>
        <v>0</v>
      </c>
      <c r="E39" s="13">
        <f>+table5!$C38</f>
        <v>9189826</v>
      </c>
      <c r="F39" s="13"/>
      <c r="G39" s="35">
        <f>+B39/table9!C39*100</f>
        <v>0.8862433186621256</v>
      </c>
      <c r="H39" s="35">
        <f>(+C39/table9!C39)*100</f>
        <v>0.7858731997022448</v>
      </c>
      <c r="I39" s="35">
        <f>(+D39/table9!C39)*100</f>
        <v>0</v>
      </c>
      <c r="J39" s="35">
        <f>(E39/table9!C39)*100</f>
        <v>0.10037011895988088</v>
      </c>
    </row>
  </sheetData>
  <sheetProtection password="CAF5" sheet="1" objects="1" scenarios="1"/>
  <mergeCells count="5">
    <mergeCell ref="A1:J1"/>
    <mergeCell ref="A3:J3"/>
    <mergeCell ref="A4:J4"/>
    <mergeCell ref="B6:E6"/>
    <mergeCell ref="G6:J6"/>
  </mergeCells>
  <printOptions/>
  <pageMargins left="0.7" right="0.7" top="0.72" bottom="0.75" header="0.48" footer="0.3"/>
  <pageSetup horizontalDpi="600" verticalDpi="600" orientation="landscape" r:id="rId1"/>
  <headerFooter scaleWithDoc="0" alignWithMargins="0">
    <oddFooter>&amp;L&amp;"Arial,Italic"MSDE - LFRO     10 / 2011&amp;C- 21 -&amp;R&amp;"Arial,Italic"Selected Financial Data Part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PageLayoutView="0" workbookViewId="0" topLeftCell="B1">
      <selection activeCell="B43" sqref="B43"/>
    </sheetView>
  </sheetViews>
  <sheetFormatPr defaultColWidth="9.140625" defaultRowHeight="12.75"/>
  <cols>
    <col min="1" max="1" width="14.140625" style="91" customWidth="1"/>
    <col min="2" max="3" width="17.7109375" style="91" bestFit="1" customWidth="1"/>
    <col min="4" max="4" width="15.00390625" style="91" bestFit="1" customWidth="1"/>
    <col min="5" max="5" width="17.7109375" style="91" bestFit="1" customWidth="1"/>
    <col min="6" max="7" width="16.00390625" style="91" bestFit="1" customWidth="1"/>
    <col min="8" max="8" width="2.7109375" style="91" customWidth="1"/>
    <col min="9" max="12" width="9.140625" style="91" customWidth="1"/>
    <col min="15" max="15" width="15.00390625" style="0" bestFit="1" customWidth="1"/>
  </cols>
  <sheetData>
    <row r="1" spans="1:12" ht="12.75">
      <c r="A1" s="396" t="s">
        <v>114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3" spans="1:12" ht="12.75">
      <c r="A3" s="398" t="s">
        <v>270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2" ht="12.75">
      <c r="A4" s="396" t="s">
        <v>138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1:12" ht="13.5" thickBot="1">
      <c r="A5" s="23"/>
      <c r="B5" s="23"/>
      <c r="C5" s="23"/>
      <c r="D5" s="23"/>
      <c r="E5" s="23"/>
      <c r="F5" s="23"/>
      <c r="G5" s="23"/>
      <c r="H5" s="23"/>
      <c r="I5" s="48"/>
      <c r="J5" s="23"/>
      <c r="K5" s="23"/>
      <c r="L5" s="23"/>
    </row>
    <row r="6" spans="1:57" ht="15" customHeight="1" thickTop="1">
      <c r="A6" s="125" t="s">
        <v>80</v>
      </c>
      <c r="B6" s="126" t="s">
        <v>43</v>
      </c>
      <c r="C6" s="394" t="s">
        <v>83</v>
      </c>
      <c r="D6" s="394"/>
      <c r="E6" s="395"/>
      <c r="F6" s="395"/>
      <c r="G6" s="125"/>
      <c r="H6" s="125"/>
      <c r="I6" s="394" t="s">
        <v>85</v>
      </c>
      <c r="J6" s="394"/>
      <c r="K6" s="394"/>
      <c r="L6" s="394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12" ht="12.75">
      <c r="A7" s="32" t="s">
        <v>33</v>
      </c>
      <c r="B7" s="127" t="s">
        <v>86</v>
      </c>
      <c r="C7" s="393" t="s">
        <v>80</v>
      </c>
      <c r="D7" s="393"/>
      <c r="E7" s="128"/>
      <c r="F7" s="128"/>
      <c r="G7" s="127" t="s">
        <v>82</v>
      </c>
      <c r="H7" s="127"/>
      <c r="I7" s="129"/>
      <c r="J7" s="129"/>
      <c r="K7" s="129"/>
      <c r="L7" s="129" t="s">
        <v>82</v>
      </c>
    </row>
    <row r="8" spans="1:15" ht="13.5" thickBot="1">
      <c r="A8" s="53" t="s">
        <v>137</v>
      </c>
      <c r="B8" s="130" t="s">
        <v>87</v>
      </c>
      <c r="C8" s="50" t="s">
        <v>207</v>
      </c>
      <c r="D8" s="50" t="s">
        <v>211</v>
      </c>
      <c r="E8" s="50" t="s">
        <v>44</v>
      </c>
      <c r="F8" s="50" t="s">
        <v>51</v>
      </c>
      <c r="G8" s="50" t="s">
        <v>84</v>
      </c>
      <c r="H8" s="50"/>
      <c r="I8" s="130" t="s">
        <v>80</v>
      </c>
      <c r="J8" s="130" t="s">
        <v>44</v>
      </c>
      <c r="K8" s="131" t="s">
        <v>51</v>
      </c>
      <c r="L8" s="50" t="s">
        <v>84</v>
      </c>
      <c r="O8" s="3"/>
    </row>
    <row r="9" spans="1:15" ht="12.75">
      <c r="A9" s="32" t="s">
        <v>0</v>
      </c>
      <c r="B9" s="144">
        <f aca="true" t="shared" si="0" ref="B9:G9">SUM(B11:B38)</f>
        <v>10846827746.929996</v>
      </c>
      <c r="C9" s="144">
        <f t="shared" si="0"/>
        <v>5329281690.6</v>
      </c>
      <c r="D9" s="144">
        <f t="shared" si="0"/>
        <v>72378351.67</v>
      </c>
      <c r="E9" s="144">
        <f t="shared" si="0"/>
        <v>4551989960.33</v>
      </c>
      <c r="F9" s="144">
        <f t="shared" si="0"/>
        <v>866677561.35</v>
      </c>
      <c r="G9" s="144">
        <f t="shared" si="0"/>
        <v>26500182.98</v>
      </c>
      <c r="H9" s="132"/>
      <c r="I9" s="133">
        <f>IF(B9&lt;&gt;0,((+C9+D9)/B9),(IF(C9&lt;&gt;0,1,0)))</f>
        <v>0.49799445223040856</v>
      </c>
      <c r="J9" s="133">
        <f>IF($B9&lt;&gt;0,(E9/$B9),(IF(E9&lt;&gt;0,1,0)))</f>
        <v>0.41966094295342343</v>
      </c>
      <c r="K9" s="133">
        <f>IF($B9&lt;&gt;0,(F9/$B9),(IF(F9&lt;&gt;0,1,0)))</f>
        <v>0.0799014773324208</v>
      </c>
      <c r="L9" s="133">
        <f>IF($B9&lt;&gt;0,(G9/$B9),(IF(G9&lt;&gt;0,1,0)))</f>
        <v>0.0024431274837475327</v>
      </c>
      <c r="O9" s="20"/>
    </row>
    <row r="10" spans="1:15" ht="12.75">
      <c r="A10" s="32"/>
      <c r="B10" s="134"/>
      <c r="C10" s="135"/>
      <c r="D10" s="51"/>
      <c r="E10" s="129"/>
      <c r="F10" s="129"/>
      <c r="G10" s="129"/>
      <c r="H10" s="129"/>
      <c r="I10" s="136"/>
      <c r="J10" s="136"/>
      <c r="K10" s="136"/>
      <c r="L10" s="136"/>
      <c r="O10" s="3"/>
    </row>
    <row r="11" spans="1:15" ht="12.75">
      <c r="A11" s="23" t="s">
        <v>1</v>
      </c>
      <c r="B11" s="145">
        <f aca="true" t="shared" si="1" ref="B11:B38">SUM(C11:G11)</f>
        <v>125220707.95999998</v>
      </c>
      <c r="C11" s="165">
        <f>'table 2a'!C11</f>
        <v>28200314.15</v>
      </c>
      <c r="D11" s="165">
        <f>'table 2a'!D11</f>
        <v>512713.25</v>
      </c>
      <c r="E11" s="165">
        <f>state1!C12-state1!I12</f>
        <v>84944313.21</v>
      </c>
      <c r="F11" s="199">
        <f>fed1!B12-'table 6'!I12-'table 6'!H12</f>
        <v>11374917.39</v>
      </c>
      <c r="G11" s="165">
        <f>'table 2a'!G11</f>
        <v>188449.96</v>
      </c>
      <c r="H11" s="113"/>
      <c r="I11" s="115">
        <f aca="true" t="shared" si="2" ref="I11:I38">IF(B11&lt;&gt;0,((+C11+D11)/B11*100),(IF(C11&lt;&gt;0,1,0)))</f>
        <v>22.929935365939617</v>
      </c>
      <c r="J11" s="115">
        <f>IF($B11&lt;&gt;0,(E11/$B11*100),(IF(E11&lt;&gt;0,1,0)))</f>
        <v>67.83567557942116</v>
      </c>
      <c r="K11" s="115">
        <f aca="true" t="shared" si="3" ref="K11:L15">IF($B11&lt;&gt;0,(F11/$B11*100),(IF(F11&lt;&gt;0,1,0)))</f>
        <v>9.083894808863052</v>
      </c>
      <c r="L11" s="115">
        <f t="shared" si="3"/>
        <v>0.150494245776184</v>
      </c>
      <c r="M11" s="18"/>
      <c r="O11" s="20"/>
    </row>
    <row r="12" spans="1:15" ht="12.75">
      <c r="A12" s="91" t="s">
        <v>2</v>
      </c>
      <c r="B12" s="117">
        <f t="shared" si="1"/>
        <v>883699768.7099998</v>
      </c>
      <c r="C12" s="165">
        <f>'table 2a'!C12</f>
        <v>554023500</v>
      </c>
      <c r="D12" s="165">
        <f>'table 2a'!D12</f>
        <v>4458492.76</v>
      </c>
      <c r="E12" s="165">
        <f>state1!C13-state1!I13</f>
        <v>266231791.69999984</v>
      </c>
      <c r="F12" s="199">
        <f>fed1!B13-'table 6'!I13-'table 6'!H13</f>
        <v>58528475.25</v>
      </c>
      <c r="G12" s="165">
        <f>'table 2a'!G12</f>
        <v>457509</v>
      </c>
      <c r="H12" s="116"/>
      <c r="I12" s="115">
        <f t="shared" si="2"/>
        <v>63.19815988808693</v>
      </c>
      <c r="J12" s="115">
        <f>IF($B12&lt;&gt;0,(E12/$B12*100),(IF(E12&lt;&gt;0,1,0)))</f>
        <v>30.126950478739804</v>
      </c>
      <c r="K12" s="115">
        <f t="shared" si="3"/>
        <v>6.623117638181373</v>
      </c>
      <c r="L12" s="115">
        <f t="shared" si="3"/>
        <v>0.05177199499190306</v>
      </c>
      <c r="O12" s="20"/>
    </row>
    <row r="13" spans="1:15" ht="12.75">
      <c r="A13" s="91" t="s">
        <v>3</v>
      </c>
      <c r="B13" s="117">
        <f t="shared" si="1"/>
        <v>1217359422.1200001</v>
      </c>
      <c r="C13" s="165">
        <f>'table 2a'!C13</f>
        <v>203281019.73</v>
      </c>
      <c r="D13" s="165">
        <f>'table 2a'!D13</f>
        <v>8255763.010000002</v>
      </c>
      <c r="E13" s="165">
        <f>state1!C14-state1!I14</f>
        <v>803089983.44</v>
      </c>
      <c r="F13" s="199">
        <f>fed1!B14-'table 6'!I14-'table 6'!H14</f>
        <v>202732655.94000006</v>
      </c>
      <c r="G13" s="165">
        <f>'table 2a'!G13</f>
        <v>0</v>
      </c>
      <c r="H13" s="116"/>
      <c r="I13" s="115">
        <f>IF(B13&lt;&gt;0,((+C13+D13)/B13*100),(IF(C13&lt;&gt;0,1,0)))</f>
        <v>17.376690802755203</v>
      </c>
      <c r="J13" s="115">
        <f>IF($B13&lt;&gt;0,(E13/$B13*100),(IF(E13&lt;&gt;0,1,0)))</f>
        <v>65.96983346474943</v>
      </c>
      <c r="K13" s="115">
        <f t="shared" si="3"/>
        <v>16.65347573249537</v>
      </c>
      <c r="L13" s="115">
        <f t="shared" si="3"/>
        <v>0</v>
      </c>
      <c r="O13" s="20"/>
    </row>
    <row r="14" spans="1:15" ht="12.75">
      <c r="A14" s="91" t="s">
        <v>4</v>
      </c>
      <c r="B14" s="117">
        <f t="shared" si="1"/>
        <v>1287693242.1399999</v>
      </c>
      <c r="C14" s="165">
        <f>'table 2a'!C14</f>
        <v>670737639</v>
      </c>
      <c r="D14" s="165">
        <f>'table 2a'!D14</f>
        <v>3012473.77</v>
      </c>
      <c r="E14" s="165">
        <f>state1!C15-state1!I15</f>
        <v>505663042.65999997</v>
      </c>
      <c r="F14" s="199">
        <f>fed1!B15-'table 6'!I15-'table 6'!H15</f>
        <v>92724955.71</v>
      </c>
      <c r="G14" s="165">
        <f>'table 2a'!G14</f>
        <v>15555131</v>
      </c>
      <c r="H14" s="116"/>
      <c r="I14" s="115">
        <f t="shared" si="2"/>
        <v>52.322252747890786</v>
      </c>
      <c r="J14" s="115">
        <f>IF($B14&lt;&gt;0,(E14/$B14*100),(IF(E14&lt;&gt;0,1,0)))</f>
        <v>39.26890552129057</v>
      </c>
      <c r="K14" s="115">
        <f t="shared" si="3"/>
        <v>7.2008575237920525</v>
      </c>
      <c r="L14" s="115">
        <f t="shared" si="3"/>
        <v>1.2079842070266005</v>
      </c>
      <c r="O14" s="20"/>
    </row>
    <row r="15" spans="1:15" ht="12.75">
      <c r="A15" s="91" t="s">
        <v>5</v>
      </c>
      <c r="B15" s="117">
        <f t="shared" si="1"/>
        <v>201277051.67</v>
      </c>
      <c r="C15" s="165">
        <f>'table 2a'!C15</f>
        <v>103615515</v>
      </c>
      <c r="D15" s="165">
        <f>'table 2a'!D15</f>
        <v>1470702.76</v>
      </c>
      <c r="E15" s="165">
        <f>state1!C16-state1!I16</f>
        <v>84390938.13999999</v>
      </c>
      <c r="F15" s="199">
        <f>fed1!B16-'table 6'!I16-'table 6'!H16</f>
        <v>10401299.77</v>
      </c>
      <c r="G15" s="165">
        <f>'table 2a'!G15</f>
        <v>1398596</v>
      </c>
      <c r="H15" s="116"/>
      <c r="I15" s="115">
        <f t="shared" si="2"/>
        <v>52.20973622581284</v>
      </c>
      <c r="J15" s="115">
        <f>IF($B15&lt;&gt;0,(E15/$B15*100),(IF(E15&lt;&gt;0,1,0)))</f>
        <v>41.927749557044166</v>
      </c>
      <c r="K15" s="115">
        <f t="shared" si="3"/>
        <v>5.16765308498917</v>
      </c>
      <c r="L15" s="115">
        <f t="shared" si="3"/>
        <v>0.6948611321538244</v>
      </c>
      <c r="O15" s="20"/>
    </row>
    <row r="16" spans="2:15" ht="12.75">
      <c r="B16" s="117"/>
      <c r="C16" s="165"/>
      <c r="D16" s="165"/>
      <c r="E16" s="165"/>
      <c r="F16" s="199"/>
      <c r="G16" s="165"/>
      <c r="H16" s="116"/>
      <c r="I16" s="115"/>
      <c r="J16" s="115"/>
      <c r="K16" s="115"/>
      <c r="L16" s="115"/>
      <c r="O16" s="3"/>
    </row>
    <row r="17" spans="1:15" ht="12.75">
      <c r="A17" s="91" t="s">
        <v>6</v>
      </c>
      <c r="B17" s="117">
        <f t="shared" si="1"/>
        <v>60975257.37</v>
      </c>
      <c r="C17" s="165">
        <f>'table 2a'!C17</f>
        <v>12145724</v>
      </c>
      <c r="D17" s="165">
        <f>'table 2a'!D17</f>
        <v>578950.5900000001</v>
      </c>
      <c r="E17" s="165">
        <f>state1!C18-state1!I18</f>
        <v>41386910.71</v>
      </c>
      <c r="F17" s="199">
        <f>fed1!B18-'table 6'!I18-'table 6'!H18</f>
        <v>6863672.07</v>
      </c>
      <c r="G17" s="165">
        <f>'table 2a'!G17</f>
        <v>0</v>
      </c>
      <c r="H17" s="116"/>
      <c r="I17" s="115">
        <f t="shared" si="2"/>
        <v>20.86858692991852</v>
      </c>
      <c r="J17" s="115">
        <f>IF($B17&lt;&gt;0,(E17/$B17*100),(IF(E17&lt;&gt;0,1,0)))</f>
        <v>67.87492582255582</v>
      </c>
      <c r="K17" s="115">
        <f aca="true" t="shared" si="4" ref="K17:L21">IF($B17&lt;&gt;0,(F17/$B17*100),(IF(F17&lt;&gt;0,1,0)))</f>
        <v>11.25648724752566</v>
      </c>
      <c r="L17" s="115">
        <f t="shared" si="4"/>
        <v>0</v>
      </c>
      <c r="O17" s="20"/>
    </row>
    <row r="18" spans="1:15" ht="12.75">
      <c r="A18" s="91" t="s">
        <v>7</v>
      </c>
      <c r="B18" s="117">
        <f t="shared" si="1"/>
        <v>326920775.72</v>
      </c>
      <c r="C18" s="165">
        <f>'table 2a'!C18</f>
        <v>169601292</v>
      </c>
      <c r="D18" s="165">
        <f>'table 2a'!D18</f>
        <v>2022822.2499999998</v>
      </c>
      <c r="E18" s="165">
        <f>state1!C19-state1!I19</f>
        <v>138568481.20000002</v>
      </c>
      <c r="F18" s="199">
        <f>fed1!B19-'table 6'!I19-'table 6'!H19</f>
        <v>15501603.150000002</v>
      </c>
      <c r="G18" s="165">
        <f>'table 2a'!G18</f>
        <v>1226577.1199999999</v>
      </c>
      <c r="H18" s="116"/>
      <c r="I18" s="115">
        <f t="shared" si="2"/>
        <v>52.49715741436758</v>
      </c>
      <c r="J18" s="115">
        <f>IF($B18&lt;&gt;0,(E18/$B18*100),(IF(E18&lt;&gt;0,1,0)))</f>
        <v>42.385951426556225</v>
      </c>
      <c r="K18" s="115">
        <f t="shared" si="4"/>
        <v>4.741700222587494</v>
      </c>
      <c r="L18" s="115">
        <f t="shared" si="4"/>
        <v>0.37519093648870283</v>
      </c>
      <c r="O18" s="20"/>
    </row>
    <row r="19" spans="1:15" ht="12.75">
      <c r="A19" s="91" t="s">
        <v>8</v>
      </c>
      <c r="B19" s="117">
        <f t="shared" si="1"/>
        <v>178747960.35000002</v>
      </c>
      <c r="C19" s="165">
        <f>'table 2a'!C19</f>
        <v>68385625</v>
      </c>
      <c r="D19" s="165">
        <f>'table 2a'!D19</f>
        <v>1073490.74</v>
      </c>
      <c r="E19" s="165">
        <f>state1!C20-state1!I20</f>
        <v>96221208.24000002</v>
      </c>
      <c r="F19" s="199">
        <f>fed1!B20-'table 6'!I20-'table 6'!H20</f>
        <v>13067636.370000001</v>
      </c>
      <c r="G19" s="165">
        <f>'table 2a'!G19</f>
        <v>0</v>
      </c>
      <c r="H19" s="116"/>
      <c r="I19" s="115">
        <f>IF(B19&lt;&gt;0,((+C19+D19)/B19*100),(IF(C19&lt;&gt;0,1,0)))</f>
        <v>38.85868996994123</v>
      </c>
      <c r="J19" s="115">
        <f>IF($B19&lt;&gt;0,(E19/$B19*100),(IF(E19&lt;&gt;0,1,0)))</f>
        <v>53.830660809551446</v>
      </c>
      <c r="K19" s="115">
        <f t="shared" si="4"/>
        <v>7.310649220507315</v>
      </c>
      <c r="L19" s="115">
        <f t="shared" si="4"/>
        <v>0</v>
      </c>
      <c r="O19" s="20"/>
    </row>
    <row r="20" spans="1:15" ht="12.75">
      <c r="A20" s="91" t="s">
        <v>9</v>
      </c>
      <c r="B20" s="117">
        <f t="shared" si="1"/>
        <v>313374107.46</v>
      </c>
      <c r="C20" s="165">
        <f>'table 2a'!C20</f>
        <v>145093200</v>
      </c>
      <c r="D20" s="165">
        <f>'table 2a'!D20</f>
        <v>2944107.46</v>
      </c>
      <c r="E20" s="165">
        <f>state1!C21-state1!I21</f>
        <v>146313174.81</v>
      </c>
      <c r="F20" s="199">
        <f>fed1!B21-'table 6'!I21-'table 6'!H21</f>
        <v>19023625.190000005</v>
      </c>
      <c r="G20" s="165">
        <f>'table 2a'!G20</f>
        <v>0</v>
      </c>
      <c r="H20" s="116"/>
      <c r="I20" s="115">
        <f t="shared" si="2"/>
        <v>47.239801864899114</v>
      </c>
      <c r="J20" s="115">
        <f>IF($B20&lt;&gt;0,(E20/$B20*100),(IF(E20&lt;&gt;0,1,0)))</f>
        <v>46.689618359320214</v>
      </c>
      <c r="K20" s="115">
        <f t="shared" si="4"/>
        <v>6.07057977578069</v>
      </c>
      <c r="L20" s="115">
        <f t="shared" si="4"/>
        <v>0</v>
      </c>
      <c r="O20" s="20"/>
    </row>
    <row r="21" spans="1:15" ht="12.75">
      <c r="A21" s="91" t="s">
        <v>10</v>
      </c>
      <c r="B21" s="117">
        <f t="shared" si="1"/>
        <v>52966059.61</v>
      </c>
      <c r="C21" s="165">
        <f>'table 2a'!C21</f>
        <v>17034817</v>
      </c>
      <c r="D21" s="165">
        <f>'table 2a'!D21</f>
        <v>1024108.7000000001</v>
      </c>
      <c r="E21" s="165">
        <f>state1!C22-state1!I22</f>
        <v>29029204.159999996</v>
      </c>
      <c r="F21" s="199">
        <f>fed1!B22-'table 6'!I22-'table 6'!H22</f>
        <v>5877929.749999999</v>
      </c>
      <c r="G21" s="165">
        <f>'table 2a'!G21</f>
        <v>0</v>
      </c>
      <c r="H21" s="116"/>
      <c r="I21" s="115">
        <f t="shared" si="2"/>
        <v>34.09527881245384</v>
      </c>
      <c r="J21" s="115">
        <f>IF($B21&lt;&gt;0,(E21/$B21*100),(IF(E21&lt;&gt;0,1,0)))</f>
        <v>54.807181001849116</v>
      </c>
      <c r="K21" s="115">
        <f t="shared" si="4"/>
        <v>11.09754018569704</v>
      </c>
      <c r="L21" s="115">
        <f t="shared" si="4"/>
        <v>0</v>
      </c>
      <c r="O21" s="20"/>
    </row>
    <row r="22" spans="2:15" ht="12.75">
      <c r="B22" s="117"/>
      <c r="C22" s="165"/>
      <c r="D22" s="165"/>
      <c r="E22" s="165"/>
      <c r="F22" s="199"/>
      <c r="G22" s="165"/>
      <c r="H22" s="116"/>
      <c r="I22" s="115"/>
      <c r="J22" s="115"/>
      <c r="K22" s="115"/>
      <c r="L22" s="115"/>
      <c r="O22" s="3"/>
    </row>
    <row r="23" spans="1:15" ht="12.75">
      <c r="A23" s="91" t="s">
        <v>11</v>
      </c>
      <c r="B23" s="117">
        <f t="shared" si="1"/>
        <v>448425504.85999995</v>
      </c>
      <c r="C23" s="165">
        <f>'table 2a'!C23</f>
        <v>221957265</v>
      </c>
      <c r="D23" s="165">
        <f>'table 2a'!D23</f>
        <v>2492695.19</v>
      </c>
      <c r="E23" s="165">
        <f>state1!C24-state1!I24</f>
        <v>198710112.58999997</v>
      </c>
      <c r="F23" s="199">
        <f>fed1!B24-'table 6'!I24-'table 6'!H24</f>
        <v>25265432.08</v>
      </c>
      <c r="G23" s="165">
        <f>'table 2a'!G23</f>
        <v>0</v>
      </c>
      <c r="H23" s="116"/>
      <c r="I23" s="115">
        <f t="shared" si="2"/>
        <v>50.052897918925034</v>
      </c>
      <c r="J23" s="115">
        <f>IF($B23&lt;&gt;0,(E23/$B23*100),(IF(E23&lt;&gt;0,1,0)))</f>
        <v>44.31284805087926</v>
      </c>
      <c r="K23" s="115">
        <f aca="true" t="shared" si="5" ref="K23:L27">IF($B23&lt;&gt;0,(F23/$B23*100),(IF(F23&lt;&gt;0,1,0)))</f>
        <v>5.6342540301957085</v>
      </c>
      <c r="L23" s="115">
        <f t="shared" si="5"/>
        <v>0</v>
      </c>
      <c r="O23" s="20"/>
    </row>
    <row r="24" spans="1:15" ht="12.75">
      <c r="A24" s="91" t="s">
        <v>12</v>
      </c>
      <c r="B24" s="117">
        <f t="shared" si="1"/>
        <v>53515278.31999999</v>
      </c>
      <c r="C24" s="165">
        <f>'table 2a'!C24</f>
        <v>23292929.14</v>
      </c>
      <c r="D24" s="165">
        <f>'table 2a'!D24</f>
        <v>163072.46000000002</v>
      </c>
      <c r="E24" s="165">
        <f>state1!C25-state1!I25</f>
        <v>24466037.049999997</v>
      </c>
      <c r="F24" s="199">
        <f>fed1!B25-'table 6'!I25-'table 6'!H25</f>
        <v>5535914.34</v>
      </c>
      <c r="G24" s="165">
        <f>'table 2a'!G24</f>
        <v>57325.33</v>
      </c>
      <c r="H24" s="116"/>
      <c r="I24" s="115">
        <f t="shared" si="2"/>
        <v>43.830476709366025</v>
      </c>
      <c r="J24" s="115">
        <f>IF($B24&lt;&gt;0,(E24/$B24*100),(IF(E24&lt;&gt;0,1,0)))</f>
        <v>45.71785444841166</v>
      </c>
      <c r="K24" s="115">
        <f t="shared" si="5"/>
        <v>10.344549283472736</v>
      </c>
      <c r="L24" s="115">
        <f t="shared" si="5"/>
        <v>0.10711955874959189</v>
      </c>
      <c r="O24" s="20"/>
    </row>
    <row r="25" spans="1:15" ht="12.75">
      <c r="A25" s="91" t="s">
        <v>13</v>
      </c>
      <c r="B25" s="117">
        <f t="shared" si="1"/>
        <v>452510998.12000006</v>
      </c>
      <c r="C25" s="165">
        <f>'table 2a'!C25</f>
        <v>210414800</v>
      </c>
      <c r="D25" s="165">
        <f>'table 2a'!D25</f>
        <v>4610048.65</v>
      </c>
      <c r="E25" s="165">
        <f>state1!C26-state1!I26</f>
        <v>205676849.56</v>
      </c>
      <c r="F25" s="199">
        <f>fed1!B26-'table 6'!I26-'table 6'!H26</f>
        <v>26715368.990000006</v>
      </c>
      <c r="G25" s="165">
        <f>'table 2a'!G25</f>
        <v>5093930.92</v>
      </c>
      <c r="H25" s="116"/>
      <c r="I25" s="115">
        <f>IF(B25&lt;&gt;0,((+C25+D25)/B25*100),(IF(C25&lt;&gt;0,1,0)))</f>
        <v>47.518148629169495</v>
      </c>
      <c r="J25" s="115">
        <f>IF($B25&lt;&gt;0,(E25/$B25*100),(IF(E25&lt;&gt;0,1,0)))</f>
        <v>45.452342686587514</v>
      </c>
      <c r="K25" s="115">
        <f t="shared" si="5"/>
        <v>5.9038054546721614</v>
      </c>
      <c r="L25" s="115">
        <f t="shared" si="5"/>
        <v>1.1257032295708216</v>
      </c>
      <c r="O25" s="20"/>
    </row>
    <row r="26" spans="1:15" ht="12.75">
      <c r="A26" s="91" t="s">
        <v>14</v>
      </c>
      <c r="B26" s="117">
        <f t="shared" si="1"/>
        <v>682732989.63</v>
      </c>
      <c r="C26" s="165">
        <f>'table 2a'!C26</f>
        <v>457560424</v>
      </c>
      <c r="D26" s="165">
        <f>'table 2a'!D26</f>
        <v>7284755</v>
      </c>
      <c r="E26" s="165">
        <f>state1!C27-state1!I27</f>
        <v>191098668.54000002</v>
      </c>
      <c r="F26" s="199">
        <f>fed1!B27-'table 6'!I27-'table 6'!H27</f>
        <v>26594142.089999996</v>
      </c>
      <c r="G26" s="165">
        <f>'table 2a'!G26</f>
        <v>195000</v>
      </c>
      <c r="H26" s="116"/>
      <c r="I26" s="115">
        <f t="shared" si="2"/>
        <v>68.08594077926686</v>
      </c>
      <c r="J26" s="115">
        <f>IF($B26&lt;&gt;0,(E26/$B26*100),(IF(E26&lt;&gt;0,1,0)))</f>
        <v>27.990249693890423</v>
      </c>
      <c r="K26" s="115">
        <f t="shared" si="5"/>
        <v>3.8952478485641087</v>
      </c>
      <c r="L26" s="115">
        <f t="shared" si="5"/>
        <v>0.028561678278601742</v>
      </c>
      <c r="O26" s="20"/>
    </row>
    <row r="27" spans="1:15" ht="12.75">
      <c r="A27" s="91" t="s">
        <v>15</v>
      </c>
      <c r="B27" s="117">
        <f t="shared" si="1"/>
        <v>31528470.65</v>
      </c>
      <c r="C27" s="165">
        <f>'table 2a'!C27</f>
        <v>17194706</v>
      </c>
      <c r="D27" s="165">
        <f>'table 2a'!D27</f>
        <v>222544.79</v>
      </c>
      <c r="E27" s="165">
        <f>state1!C28-state1!I28</f>
        <v>10363426.01</v>
      </c>
      <c r="F27" s="199">
        <f>fed1!B28-'table 6'!I28-'table 6'!H28</f>
        <v>3747793.8500000006</v>
      </c>
      <c r="G27" s="165">
        <f>'table 2a'!G27</f>
        <v>0</v>
      </c>
      <c r="H27" s="116"/>
      <c r="I27" s="115">
        <f t="shared" si="2"/>
        <v>55.242929425122625</v>
      </c>
      <c r="J27" s="115">
        <f>IF($B27&lt;&gt;0,(E27/$B27*100),(IF(E27&lt;&gt;0,1,0)))</f>
        <v>32.870056163031805</v>
      </c>
      <c r="K27" s="115">
        <f t="shared" si="5"/>
        <v>11.88701441184557</v>
      </c>
      <c r="L27" s="115">
        <f t="shared" si="5"/>
        <v>0</v>
      </c>
      <c r="O27" s="20"/>
    </row>
    <row r="28" spans="2:15" ht="12.75">
      <c r="B28" s="117"/>
      <c r="C28" s="165"/>
      <c r="D28" s="165"/>
      <c r="E28" s="165"/>
      <c r="F28" s="199"/>
      <c r="G28" s="165"/>
      <c r="H28" s="116"/>
      <c r="I28" s="115"/>
      <c r="J28" s="115"/>
      <c r="K28" s="115"/>
      <c r="L28" s="115"/>
      <c r="O28" s="3"/>
    </row>
    <row r="29" spans="1:15" ht="12.75">
      <c r="A29" s="91" t="s">
        <v>16</v>
      </c>
      <c r="B29" s="117">
        <f t="shared" si="1"/>
        <v>2005170851.98</v>
      </c>
      <c r="C29" s="165">
        <f>'table 2a'!C29</f>
        <v>1428500969.77</v>
      </c>
      <c r="D29" s="165">
        <f>'table 2a'!D29</f>
        <v>13795896.609999998</v>
      </c>
      <c r="E29" s="165">
        <f>state1!C30-state1!I30</f>
        <v>441754118.6700001</v>
      </c>
      <c r="F29" s="199">
        <f>fed1!B30-'table 6'!I30-'table 6'!H30</f>
        <v>121005063.73999995</v>
      </c>
      <c r="G29" s="165">
        <f>'table 2a'!G29</f>
        <v>114803.19000000041</v>
      </c>
      <c r="H29" s="116"/>
      <c r="I29" s="115">
        <f t="shared" si="2"/>
        <v>71.92887653218219</v>
      </c>
      <c r="J29" s="115">
        <f>IF($B29&lt;&gt;0,(E29/$B29*100),(IF(E29&lt;&gt;0,1,0)))</f>
        <v>22.030747067452694</v>
      </c>
      <c r="K29" s="115">
        <f aca="true" t="shared" si="6" ref="K29:L33">IF($B29&lt;&gt;0,(F29/$B29*100),(IF(F29&lt;&gt;0,1,0)))</f>
        <v>6.034651043351935</v>
      </c>
      <c r="L29" s="115">
        <f t="shared" si="6"/>
        <v>0.005725357013176126</v>
      </c>
      <c r="O29" s="20"/>
    </row>
    <row r="30" spans="1:15" ht="12.75">
      <c r="A30" s="91" t="s">
        <v>17</v>
      </c>
      <c r="B30" s="117">
        <f t="shared" si="1"/>
        <v>1636068361.16</v>
      </c>
      <c r="C30" s="165">
        <f>'table 2a'!C30</f>
        <v>616311976.05</v>
      </c>
      <c r="D30" s="165">
        <f>'table 2a'!D30</f>
        <v>11678590.340000002</v>
      </c>
      <c r="E30" s="165">
        <f>state1!C31-state1!I31</f>
        <v>860308610.35</v>
      </c>
      <c r="F30" s="199">
        <f>fed1!B31-'table 6'!I31-'table 6'!H31</f>
        <v>147769184.42000002</v>
      </c>
      <c r="G30" s="165">
        <f>'table 2a'!G30</f>
        <v>0</v>
      </c>
      <c r="H30" s="116"/>
      <c r="I30" s="115">
        <f t="shared" si="2"/>
        <v>38.384127540046315</v>
      </c>
      <c r="J30" s="115">
        <f>IF($B30&lt;&gt;0,(E30/$B30*100),(IF(E30&lt;&gt;0,1,0)))</f>
        <v>52.58390362979861</v>
      </c>
      <c r="K30" s="115">
        <f t="shared" si="6"/>
        <v>9.031968830155066</v>
      </c>
      <c r="L30" s="115">
        <f t="shared" si="6"/>
        <v>0</v>
      </c>
      <c r="O30" s="20"/>
    </row>
    <row r="31" spans="1:15" ht="12.75">
      <c r="A31" s="91" t="s">
        <v>18</v>
      </c>
      <c r="B31" s="117">
        <f t="shared" si="1"/>
        <v>85205740.36</v>
      </c>
      <c r="C31" s="165">
        <f>'table 2a'!C31</f>
        <v>47465625</v>
      </c>
      <c r="D31" s="165">
        <f>'table 2a'!D31</f>
        <v>787297.23</v>
      </c>
      <c r="E31" s="165">
        <f>state1!C32-state1!I32</f>
        <v>30359850.05</v>
      </c>
      <c r="F31" s="199">
        <f>fed1!B32-'table 6'!I32-'table 6'!H32</f>
        <v>6592968.08</v>
      </c>
      <c r="G31" s="165">
        <f>'table 2a'!G31</f>
        <v>0</v>
      </c>
      <c r="H31" s="116"/>
      <c r="I31" s="115">
        <f>IF(B31&lt;&gt;0,((+C31+D31)/B31*100),(IF(C31&lt;&gt;0,1,0)))</f>
        <v>56.63106972150954</v>
      </c>
      <c r="J31" s="115">
        <f>IF($B31&lt;&gt;0,(E31/$B31*100),(IF(E31&lt;&gt;0,1,0)))</f>
        <v>35.63122616120415</v>
      </c>
      <c r="K31" s="115">
        <f t="shared" si="6"/>
        <v>7.737704117286307</v>
      </c>
      <c r="L31" s="115">
        <f t="shared" si="6"/>
        <v>0</v>
      </c>
      <c r="O31" s="20"/>
    </row>
    <row r="32" spans="1:15" ht="12.75">
      <c r="A32" s="91" t="s">
        <v>19</v>
      </c>
      <c r="B32" s="117">
        <f t="shared" si="1"/>
        <v>188062620.23</v>
      </c>
      <c r="C32" s="165">
        <f>'table 2a'!C32</f>
        <v>79195102</v>
      </c>
      <c r="D32" s="165">
        <f>'table 2a'!D32</f>
        <v>824902.11</v>
      </c>
      <c r="E32" s="165">
        <f>state1!C33-state1!I33</f>
        <v>89977109.45</v>
      </c>
      <c r="F32" s="199">
        <f>fed1!B33-'table 6'!I33-'table 6'!H33</f>
        <v>17453735.630000006</v>
      </c>
      <c r="G32" s="165">
        <f>'table 2a'!G32</f>
        <v>611771.04</v>
      </c>
      <c r="H32" s="116"/>
      <c r="I32" s="115">
        <f t="shared" si="2"/>
        <v>42.54965926356646</v>
      </c>
      <c r="J32" s="115">
        <f>IF($B32&lt;&gt;0,(E32/$B32*100),(IF(E32&lt;&gt;0,1,0)))</f>
        <v>47.84422834264368</v>
      </c>
      <c r="K32" s="115">
        <f t="shared" si="6"/>
        <v>9.2808106197043</v>
      </c>
      <c r="L32" s="115">
        <f t="shared" si="6"/>
        <v>0.32530177408557104</v>
      </c>
      <c r="O32" s="20"/>
    </row>
    <row r="33" spans="1:15" ht="12.75">
      <c r="A33" s="91" t="s">
        <v>20</v>
      </c>
      <c r="B33" s="117">
        <f t="shared" si="1"/>
        <v>38722277.03</v>
      </c>
      <c r="C33" s="165">
        <f>'table 2a'!C33</f>
        <v>8740421.52</v>
      </c>
      <c r="D33" s="165">
        <f>'table 2a'!D33</f>
        <v>260193.84</v>
      </c>
      <c r="E33" s="165">
        <f>state1!C34-state1!I34</f>
        <v>23457838.72</v>
      </c>
      <c r="F33" s="199">
        <f>fed1!B34-'table 6'!I34-'table 6'!H34</f>
        <v>6263822.949999999</v>
      </c>
      <c r="G33" s="165">
        <f>'table 2a'!G33</f>
        <v>0</v>
      </c>
      <c r="H33" s="116"/>
      <c r="I33" s="115">
        <f t="shared" si="2"/>
        <v>23.24402398398935</v>
      </c>
      <c r="J33" s="115">
        <f>IF($B33&lt;&gt;0,(E33/$B33*100),(IF(E33&lt;&gt;0,1,0)))</f>
        <v>60.57969861076633</v>
      </c>
      <c r="K33" s="115">
        <f t="shared" si="6"/>
        <v>16.176277405244313</v>
      </c>
      <c r="L33" s="115">
        <f t="shared" si="6"/>
        <v>0</v>
      </c>
      <c r="O33" s="20"/>
    </row>
    <row r="34" spans="2:15" ht="12.75">
      <c r="B34" s="117"/>
      <c r="C34" s="68"/>
      <c r="D34" s="165"/>
      <c r="E34" s="199"/>
      <c r="F34" s="199"/>
      <c r="G34" s="165"/>
      <c r="H34" s="116"/>
      <c r="I34" s="115"/>
      <c r="J34" s="115"/>
      <c r="K34" s="115"/>
      <c r="L34" s="115"/>
      <c r="O34" s="3"/>
    </row>
    <row r="35" spans="1:15" ht="12.75">
      <c r="A35" s="91" t="s">
        <v>21</v>
      </c>
      <c r="B35" s="117">
        <f t="shared" si="1"/>
        <v>49370789.46</v>
      </c>
      <c r="C35" s="165">
        <f>'table 2a'!C35</f>
        <v>34219073</v>
      </c>
      <c r="D35" s="165">
        <f>'table 2a'!D35</f>
        <v>650358.9899999999</v>
      </c>
      <c r="E35" s="165">
        <f>state1!C36-state1!I36</f>
        <v>10705172.549999997</v>
      </c>
      <c r="F35" s="199">
        <f>fed1!B36-'table 6'!I36-'table 6'!H36</f>
        <v>3795040.7500000005</v>
      </c>
      <c r="G35" s="165">
        <f>'table 2a'!G35</f>
        <v>1144.17</v>
      </c>
      <c r="H35" s="116"/>
      <c r="I35" s="115">
        <f t="shared" si="2"/>
        <v>70.62765730787243</v>
      </c>
      <c r="J35" s="115">
        <f>IF($B35&lt;&gt;0,(E35/$B35*100),(IF(E35&lt;&gt;0,1,0)))</f>
        <v>21.683211200568874</v>
      </c>
      <c r="K35" s="115">
        <f aca="true" t="shared" si="7" ref="K35:L38">IF($B35&lt;&gt;0,(F35/$B35*100),(IF(F35&lt;&gt;0,1,0)))</f>
        <v>7.6868139876003525</v>
      </c>
      <c r="L35" s="115">
        <f t="shared" si="7"/>
        <v>0.0023175039583416056</v>
      </c>
      <c r="O35" s="20"/>
    </row>
    <row r="36" spans="1:15" ht="12.75">
      <c r="A36" s="91" t="s">
        <v>22</v>
      </c>
      <c r="B36" s="117">
        <f t="shared" si="1"/>
        <v>248980218.89</v>
      </c>
      <c r="C36" s="165">
        <f>'table 2a'!C36</f>
        <v>89573978.24</v>
      </c>
      <c r="D36" s="165">
        <f>'table 2a'!D36</f>
        <v>1131844.2500000002</v>
      </c>
      <c r="E36" s="165">
        <f>state1!C37-state1!I37</f>
        <v>138770451.72</v>
      </c>
      <c r="F36" s="199">
        <f>fed1!B37-'table 6'!I37-'table 6'!H37</f>
        <v>18660732.580000006</v>
      </c>
      <c r="G36" s="165">
        <f>'table 2a'!G36</f>
        <v>843212.1000000001</v>
      </c>
      <c r="H36" s="116"/>
      <c r="I36" s="115">
        <f t="shared" si="2"/>
        <v>36.4309353146139</v>
      </c>
      <c r="J36" s="115">
        <f>IF($B36&lt;&gt;0,(E36/$B36*100),(IF(E36&lt;&gt;0,1,0)))</f>
        <v>55.73553286227493</v>
      </c>
      <c r="K36" s="115">
        <f t="shared" si="7"/>
        <v>7.494865521121724</v>
      </c>
      <c r="L36" s="115">
        <f t="shared" si="7"/>
        <v>0.33866630198944964</v>
      </c>
      <c r="O36" s="20"/>
    </row>
    <row r="37" spans="1:15" ht="12.75">
      <c r="A37" s="91" t="s">
        <v>23</v>
      </c>
      <c r="B37" s="117">
        <f t="shared" si="1"/>
        <v>180981878.66</v>
      </c>
      <c r="C37" s="165">
        <f>'table 2a'!C37</f>
        <v>50781711</v>
      </c>
      <c r="D37" s="165">
        <f>'table 2a'!D37</f>
        <v>2367825.73</v>
      </c>
      <c r="E37" s="165">
        <f>state1!C38-state1!I38</f>
        <v>113427989.18</v>
      </c>
      <c r="F37" s="199">
        <f>fed1!B38-'table 6'!I38-'table 6'!H38</f>
        <v>13647619.600000001</v>
      </c>
      <c r="G37" s="165">
        <f>'table 2a'!G37</f>
        <v>756733.1499999999</v>
      </c>
      <c r="H37" s="116"/>
      <c r="I37" s="115">
        <f t="shared" si="2"/>
        <v>29.367325128638377</v>
      </c>
      <c r="J37" s="115">
        <f>IF($B37&lt;&gt;0,(E37/$B37*100),(IF(E37&lt;&gt;0,1,0)))</f>
        <v>62.6736720934865</v>
      </c>
      <c r="K37" s="115">
        <f t="shared" si="7"/>
        <v>7.540876302670601</v>
      </c>
      <c r="L37" s="115">
        <f t="shared" si="7"/>
        <v>0.4181264752045314</v>
      </c>
      <c r="O37" s="20"/>
    </row>
    <row r="38" spans="1:15" ht="12.75">
      <c r="A38" s="147" t="s">
        <v>24</v>
      </c>
      <c r="B38" s="120">
        <f t="shared" si="1"/>
        <v>97317414.47</v>
      </c>
      <c r="C38" s="166">
        <f>'table 2a'!C38</f>
        <v>71954064</v>
      </c>
      <c r="D38" s="166">
        <f>'table 2a'!D38</f>
        <v>754701.1900000001</v>
      </c>
      <c r="E38" s="166">
        <f>state1!C39-state1!I39</f>
        <v>17074677.62</v>
      </c>
      <c r="F38" s="166">
        <f>fed1!B39-'table 6'!I39-'table 6'!H39</f>
        <v>7533971.660000002</v>
      </c>
      <c r="G38" s="166">
        <f>'table 2a'!G38</f>
        <v>0</v>
      </c>
      <c r="H38" s="119"/>
      <c r="I38" s="121">
        <f t="shared" si="2"/>
        <v>74.7130054635945</v>
      </c>
      <c r="J38" s="121">
        <f>IF($B38&lt;&gt;0,(E38/$B38*100),(IF(E38&lt;&gt;0,1,0)))</f>
        <v>17.54534654767632</v>
      </c>
      <c r="K38" s="121">
        <f t="shared" si="7"/>
        <v>7.741647988729188</v>
      </c>
      <c r="L38" s="121">
        <f t="shared" si="7"/>
        <v>0</v>
      </c>
      <c r="O38" s="20"/>
    </row>
    <row r="39" spans="1:15" ht="12.75">
      <c r="A39" s="95"/>
      <c r="B39" s="117"/>
      <c r="C39" s="114"/>
      <c r="D39" s="114"/>
      <c r="E39" s="114"/>
      <c r="F39" s="114"/>
      <c r="G39" s="114"/>
      <c r="H39" s="113"/>
      <c r="I39" s="115"/>
      <c r="J39" s="115"/>
      <c r="K39" s="115"/>
      <c r="L39" s="115"/>
      <c r="O39" s="20"/>
    </row>
    <row r="40" spans="1:12" ht="12.75">
      <c r="A40" s="384" t="s">
        <v>288</v>
      </c>
      <c r="C40" s="112"/>
      <c r="D40" s="116"/>
      <c r="E40" s="112"/>
      <c r="F40" s="112"/>
      <c r="G40" s="112"/>
      <c r="H40" s="112"/>
      <c r="I40" s="167"/>
      <c r="J40" s="167"/>
      <c r="K40" s="167"/>
      <c r="L40" s="112"/>
    </row>
    <row r="41" spans="1:256" ht="12.75">
      <c r="A41" s="55" t="s">
        <v>292</v>
      </c>
      <c r="B41" s="55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12" ht="12.75">
      <c r="A42" s="55" t="s">
        <v>294</v>
      </c>
      <c r="C42" s="112"/>
      <c r="D42" s="116"/>
      <c r="E42" s="112"/>
      <c r="F42" s="112"/>
      <c r="G42" s="112"/>
      <c r="H42" s="112"/>
      <c r="I42" s="112"/>
      <c r="J42" s="112"/>
      <c r="K42" s="112"/>
      <c r="L42" s="112"/>
    </row>
    <row r="43" spans="1:12" ht="12.75">
      <c r="A43" s="123"/>
      <c r="C43" s="112"/>
      <c r="D43" s="116"/>
      <c r="E43" s="112"/>
      <c r="F43" s="112"/>
      <c r="G43" s="112"/>
      <c r="H43" s="112"/>
      <c r="I43" s="112"/>
      <c r="J43" s="112"/>
      <c r="K43" s="112"/>
      <c r="L43" s="112"/>
    </row>
    <row r="44" spans="3:12" ht="12.75">
      <c r="C44" s="112"/>
      <c r="D44" s="116"/>
      <c r="E44" s="112"/>
      <c r="F44" s="112"/>
      <c r="G44" s="112"/>
      <c r="H44" s="112"/>
      <c r="I44" s="112"/>
      <c r="J44" s="112"/>
      <c r="K44" s="112"/>
      <c r="L44" s="112"/>
    </row>
    <row r="45" ht="12.75">
      <c r="D45" s="122"/>
    </row>
    <row r="46" ht="12.75">
      <c r="D46" s="122"/>
    </row>
  </sheetData>
  <sheetProtection password="CAF5" sheet="1" objects="1" scenarios="1"/>
  <mergeCells count="6">
    <mergeCell ref="A1:L1"/>
    <mergeCell ref="C7:D7"/>
    <mergeCell ref="C6:F6"/>
    <mergeCell ref="I6:L6"/>
    <mergeCell ref="A3:L3"/>
    <mergeCell ref="A4:L4"/>
  </mergeCells>
  <printOptions horizontalCentered="1"/>
  <pageMargins left="0.7" right="0.72" top="0.83" bottom="1" header="0.67" footer="0.5"/>
  <pageSetup fitToHeight="1" fitToWidth="1" horizontalDpi="600" verticalDpi="600" orientation="landscape" scale="81" r:id="rId1"/>
  <headerFooter scaleWithDoc="0" alignWithMargins="0">
    <oddFooter>&amp;L&amp;"Arial,Italic"MSDE - LFRO  10  / 2011&amp;C- 3 -&amp;R&amp;"Arial,Italic"Selected Financial Data-Part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4.140625" style="0" customWidth="1"/>
    <col min="2" max="2" width="14.8515625" style="0" customWidth="1"/>
    <col min="3" max="3" width="14.8515625" style="57" customWidth="1"/>
    <col min="4" max="4" width="13.28125" style="57" customWidth="1"/>
    <col min="5" max="5" width="18.140625" style="57" customWidth="1"/>
    <col min="6" max="7" width="13.28125" style="57" customWidth="1"/>
    <col min="8" max="11" width="9.140625" style="57" customWidth="1"/>
  </cols>
  <sheetData>
    <row r="1" spans="1:11" ht="12.75">
      <c r="A1" s="403" t="s">
        <v>90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3" spans="1:11" ht="12.75">
      <c r="A3" s="398" t="s">
        <v>267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</row>
    <row r="4" spans="1:10" ht="12.75">
      <c r="A4" s="403"/>
      <c r="B4" s="403"/>
      <c r="C4" s="403"/>
      <c r="D4" s="403"/>
      <c r="E4" s="403"/>
      <c r="F4" s="403"/>
      <c r="G4" s="403"/>
      <c r="H4" s="403"/>
      <c r="I4" s="403"/>
      <c r="J4" s="403"/>
    </row>
    <row r="5" spans="2:11" ht="13.5" thickBot="1">
      <c r="B5" s="11"/>
      <c r="C5" s="215"/>
      <c r="D5" s="215"/>
      <c r="E5" s="215"/>
      <c r="F5" s="215"/>
      <c r="G5" s="215"/>
      <c r="H5" s="215"/>
      <c r="I5" s="215"/>
      <c r="J5" s="215"/>
      <c r="K5" s="215"/>
    </row>
    <row r="6" spans="1:58" ht="15" customHeight="1" thickTop="1">
      <c r="A6" s="6" t="s">
        <v>80</v>
      </c>
      <c r="B6" s="17" t="s">
        <v>43</v>
      </c>
      <c r="C6" s="405" t="s">
        <v>83</v>
      </c>
      <c r="D6" s="405"/>
      <c r="E6" s="405"/>
      <c r="F6" s="405"/>
      <c r="G6" s="218"/>
      <c r="H6" s="405" t="s">
        <v>85</v>
      </c>
      <c r="I6" s="405"/>
      <c r="J6" s="405"/>
      <c r="K6" s="405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11" ht="12.75">
      <c r="A7" s="3" t="s">
        <v>33</v>
      </c>
      <c r="B7" s="9" t="s">
        <v>86</v>
      </c>
      <c r="C7" s="404" t="s">
        <v>80</v>
      </c>
      <c r="D7" s="404"/>
      <c r="E7" s="406" t="s">
        <v>44</v>
      </c>
      <c r="F7" s="406" t="s">
        <v>51</v>
      </c>
      <c r="G7" s="127" t="s">
        <v>82</v>
      </c>
      <c r="H7" s="69"/>
      <c r="I7" s="69"/>
      <c r="J7" s="69"/>
      <c r="K7" s="69" t="s">
        <v>82</v>
      </c>
    </row>
    <row r="8" spans="1:11" ht="13.5" thickBot="1">
      <c r="A8" s="7" t="s">
        <v>137</v>
      </c>
      <c r="B8" s="225" t="s">
        <v>87</v>
      </c>
      <c r="C8" s="87" t="s">
        <v>81</v>
      </c>
      <c r="D8" s="87" t="s">
        <v>116</v>
      </c>
      <c r="E8" s="407"/>
      <c r="F8" s="407"/>
      <c r="G8" s="50" t="s">
        <v>84</v>
      </c>
      <c r="H8" s="216" t="s">
        <v>80</v>
      </c>
      <c r="I8" s="216" t="s">
        <v>44</v>
      </c>
      <c r="J8" s="217" t="s">
        <v>51</v>
      </c>
      <c r="K8" s="87" t="s">
        <v>84</v>
      </c>
    </row>
    <row r="9" spans="1:11" ht="12.75">
      <c r="A9" s="3" t="s">
        <v>0</v>
      </c>
      <c r="B9" s="64">
        <f aca="true" t="shared" si="0" ref="B9:G9">SUM(B11:B38)</f>
        <v>1039192373.6400001</v>
      </c>
      <c r="C9" s="168">
        <f t="shared" si="0"/>
        <v>123983507.02000001</v>
      </c>
      <c r="D9" s="168">
        <f t="shared" si="0"/>
        <v>488652585.41</v>
      </c>
      <c r="E9" s="168">
        <f t="shared" si="0"/>
        <v>264345966.78</v>
      </c>
      <c r="F9" s="168">
        <f t="shared" si="0"/>
        <v>0</v>
      </c>
      <c r="G9" s="168">
        <f t="shared" si="0"/>
        <v>162210314.43</v>
      </c>
      <c r="H9" s="169">
        <f>IF(B9&lt;&gt;0,((+C9+D9)/B9),(IF(C9&lt;&gt;0,1,0)))</f>
        <v>0.5895309742161667</v>
      </c>
      <c r="I9" s="169">
        <f>IF($B9&lt;&gt;0,(E9/$B9),(IF(E9&lt;&gt;0,1,0)))</f>
        <v>0.2543763536813401</v>
      </c>
      <c r="J9" s="169">
        <f>IF($B9&lt;&gt;0,(F9/$B9),(IF(F9&lt;&gt;0,1,0)))</f>
        <v>0</v>
      </c>
      <c r="K9" s="169">
        <f>IF($B9&lt;&gt;0,(G9/$B9),(IF(G9&lt;&gt;0,1,0)))</f>
        <v>0.15609267210249309</v>
      </c>
    </row>
    <row r="10" spans="1:11" ht="12.75">
      <c r="A10" s="3"/>
      <c r="B10" s="65"/>
      <c r="C10" s="170"/>
      <c r="D10" s="81"/>
      <c r="E10" s="80"/>
      <c r="F10" s="76"/>
      <c r="G10" s="76"/>
      <c r="H10" s="171"/>
      <c r="I10" s="171"/>
      <c r="J10" s="171"/>
      <c r="K10" s="171"/>
    </row>
    <row r="11" spans="1:11" ht="12.75">
      <c r="A11" t="s">
        <v>1</v>
      </c>
      <c r="B11" s="60">
        <f aca="true" t="shared" si="1" ref="B11:B38">SUM(C11:G11)</f>
        <v>5313612.359999999</v>
      </c>
      <c r="C11" s="240">
        <v>318586.98</v>
      </c>
      <c r="D11" s="240">
        <v>0</v>
      </c>
      <c r="E11" s="248">
        <v>404829</v>
      </c>
      <c r="F11" s="240">
        <v>0</v>
      </c>
      <c r="G11" s="240">
        <v>4590196.38</v>
      </c>
      <c r="H11" s="336">
        <f aca="true" t="shared" si="2" ref="H11:H38">IF(B11&lt;&gt;0,((+C11+D11)/B11*100),(IF(C11&lt;&gt;0,1,0)))</f>
        <v>5.995675981151173</v>
      </c>
      <c r="I11" s="336">
        <f>IF($B11&lt;&gt;0,(E11/$B11*100),(IF(E11&lt;&gt;0,1,0)))</f>
        <v>7.61871534038663</v>
      </c>
      <c r="J11" s="336">
        <f aca="true" t="shared" si="3" ref="J11:K15">IF($B11&lt;&gt;0,(F11/$B11*100),(IF(F11&lt;&gt;0,1,0)))</f>
        <v>0</v>
      </c>
      <c r="K11" s="336">
        <f t="shared" si="3"/>
        <v>86.3856086784622</v>
      </c>
    </row>
    <row r="12" spans="1:11" ht="12.75">
      <c r="A12" t="s">
        <v>2</v>
      </c>
      <c r="B12" s="60">
        <f t="shared" si="1"/>
        <v>102547667</v>
      </c>
      <c r="C12" s="240">
        <v>8367703</v>
      </c>
      <c r="D12" s="240">
        <v>51446</v>
      </c>
      <c r="E12" s="248">
        <v>40970053</v>
      </c>
      <c r="F12" s="240">
        <v>0</v>
      </c>
      <c r="G12" s="240">
        <v>53158465</v>
      </c>
      <c r="H12" s="336">
        <f t="shared" si="2"/>
        <v>8.20998589855779</v>
      </c>
      <c r="I12" s="336">
        <f>IF($B12&lt;&gt;0,(E12/$B12*100),(IF(E12&lt;&gt;0,1,0)))</f>
        <v>39.95220388582804</v>
      </c>
      <c r="J12" s="336">
        <f t="shared" si="3"/>
        <v>0</v>
      </c>
      <c r="K12" s="336">
        <f t="shared" si="3"/>
        <v>51.83781021561417</v>
      </c>
    </row>
    <row r="13" spans="1:11" ht="12.75">
      <c r="A13" t="s">
        <v>3</v>
      </c>
      <c r="B13" s="60">
        <f t="shared" si="1"/>
        <v>100153127.21</v>
      </c>
      <c r="C13" s="240">
        <v>14044869.77</v>
      </c>
      <c r="D13" s="240">
        <v>65656.54</v>
      </c>
      <c r="E13" s="248">
        <v>22029117.07</v>
      </c>
      <c r="F13" s="240">
        <v>0</v>
      </c>
      <c r="G13" s="240">
        <v>64013483.83</v>
      </c>
      <c r="H13" s="336">
        <f>IF(B13&lt;&gt;0,((+C13+D13)/B13*100),(IF(C13&lt;&gt;0,1,0)))</f>
        <v>14.088952290439419</v>
      </c>
      <c r="I13" s="336">
        <f>IF($B13&lt;&gt;0,(E13/$B13*100),(IF(E13&lt;&gt;0,1,0)))</f>
        <v>21.99543607241498</v>
      </c>
      <c r="J13" s="336">
        <f t="shared" si="3"/>
        <v>0</v>
      </c>
      <c r="K13" s="336">
        <f t="shared" si="3"/>
        <v>63.91561163714561</v>
      </c>
    </row>
    <row r="14" spans="1:11" ht="12.75">
      <c r="A14" t="s">
        <v>4</v>
      </c>
      <c r="B14" s="60">
        <f t="shared" si="1"/>
        <v>108618209</v>
      </c>
      <c r="C14" s="240">
        <v>84414912</v>
      </c>
      <c r="D14" s="240">
        <v>0</v>
      </c>
      <c r="E14" s="248">
        <v>24203297</v>
      </c>
      <c r="F14" s="240">
        <v>0</v>
      </c>
      <c r="G14" s="240">
        <v>0</v>
      </c>
      <c r="H14" s="336">
        <f t="shared" si="2"/>
        <v>77.71709069517064</v>
      </c>
      <c r="I14" s="336">
        <f>IF($B14&lt;&gt;0,(E14/$B14*100),(IF(E14&lt;&gt;0,1,0)))</f>
        <v>22.28290930482936</v>
      </c>
      <c r="J14" s="336">
        <f t="shared" si="3"/>
        <v>0</v>
      </c>
      <c r="K14" s="336">
        <f t="shared" si="3"/>
        <v>0</v>
      </c>
    </row>
    <row r="15" spans="1:11" ht="12.75">
      <c r="A15" t="s">
        <v>5</v>
      </c>
      <c r="B15" s="60">
        <f t="shared" si="1"/>
        <v>11704881.86</v>
      </c>
      <c r="C15" s="240">
        <v>6087263.88</v>
      </c>
      <c r="D15" s="240">
        <v>143.98</v>
      </c>
      <c r="E15" s="248">
        <v>5617474</v>
      </c>
      <c r="F15" s="240">
        <v>0</v>
      </c>
      <c r="G15" s="240">
        <v>0</v>
      </c>
      <c r="H15" s="336">
        <f t="shared" si="2"/>
        <v>52.00742675415607</v>
      </c>
      <c r="I15" s="336">
        <f>IF($B15&lt;&gt;0,(E15/$B15*100),(IF(E15&lt;&gt;0,1,0)))</f>
        <v>47.99257324584394</v>
      </c>
      <c r="J15" s="336">
        <f t="shared" si="3"/>
        <v>0</v>
      </c>
      <c r="K15" s="336">
        <f t="shared" si="3"/>
        <v>0</v>
      </c>
    </row>
    <row r="16" spans="2:11" ht="12.75">
      <c r="B16" s="60"/>
      <c r="C16" s="240"/>
      <c r="D16" s="240"/>
      <c r="E16" s="248"/>
      <c r="F16" s="240"/>
      <c r="G16" s="240"/>
      <c r="H16" s="336"/>
      <c r="I16" s="336"/>
      <c r="J16" s="336"/>
      <c r="K16" s="336"/>
    </row>
    <row r="17" spans="1:11" ht="12.75">
      <c r="A17" t="s">
        <v>6</v>
      </c>
      <c r="B17" s="60">
        <f t="shared" si="1"/>
        <v>15221927.65</v>
      </c>
      <c r="C17" s="240">
        <v>0</v>
      </c>
      <c r="D17" s="240">
        <v>0</v>
      </c>
      <c r="E17" s="248">
        <v>10748301.9</v>
      </c>
      <c r="F17" s="240">
        <v>0</v>
      </c>
      <c r="G17" s="240">
        <v>4473625.75</v>
      </c>
      <c r="H17" s="336">
        <f t="shared" si="2"/>
        <v>0</v>
      </c>
      <c r="I17" s="336">
        <f>IF($B17&lt;&gt;0,(E17/$B17*100),(IF(E17&lt;&gt;0,1,0)))</f>
        <v>70.6106489738834</v>
      </c>
      <c r="J17" s="336">
        <f aca="true" t="shared" si="4" ref="J17:K21">IF($B17&lt;&gt;0,(F17/$B17*100),(IF(F17&lt;&gt;0,1,0)))</f>
        <v>0</v>
      </c>
      <c r="K17" s="336">
        <f t="shared" si="4"/>
        <v>29.38935102611659</v>
      </c>
    </row>
    <row r="18" spans="1:11" ht="12.75">
      <c r="A18" t="s">
        <v>7</v>
      </c>
      <c r="B18" s="60">
        <f>SUM(C18:G18)</f>
        <v>14661432.659999998</v>
      </c>
      <c r="C18" s="240">
        <v>3191054.68</v>
      </c>
      <c r="D18" s="240">
        <v>0</v>
      </c>
      <c r="E18" s="248">
        <v>10243800.86</v>
      </c>
      <c r="F18" s="240">
        <v>0</v>
      </c>
      <c r="G18" s="240">
        <v>1226577.1199999999</v>
      </c>
      <c r="H18" s="336">
        <f>IF(B18&lt;&gt;0,((+G18+C18)/B18*100),(IF(G18&lt;&gt;0,1,0)))</f>
        <v>30.13096947921323</v>
      </c>
      <c r="I18" s="336">
        <f>IF($B18&lt;&gt;0,(E18/$B18*100),(IF(E18&lt;&gt;0,1,0)))</f>
        <v>69.86903052078678</v>
      </c>
      <c r="J18" s="336">
        <f>IF($B18&lt;&gt;0,(F18/$B18*100),(IF(F18&lt;&gt;0,1,0)))</f>
        <v>0</v>
      </c>
      <c r="K18" s="336">
        <f t="shared" si="4"/>
        <v>8.366011347215778</v>
      </c>
    </row>
    <row r="19" spans="1:11" ht="12.75">
      <c r="A19" t="s">
        <v>8</v>
      </c>
      <c r="B19" s="60">
        <f t="shared" si="1"/>
        <v>10176485.77</v>
      </c>
      <c r="C19" s="240">
        <v>0</v>
      </c>
      <c r="D19" s="240">
        <v>6505831.17</v>
      </c>
      <c r="E19" s="248">
        <v>3670654.6</v>
      </c>
      <c r="F19" s="240">
        <v>0</v>
      </c>
      <c r="G19" s="240">
        <v>0</v>
      </c>
      <c r="H19" s="336">
        <f>IF(B19&lt;&gt;0,((+C19+D19)/B19*100),(IF(C19&lt;&gt;0,1,0)))</f>
        <v>63.930037510385084</v>
      </c>
      <c r="I19" s="336">
        <f>IF($B19&lt;&gt;0,(E19/$B19*100),(IF(E19&lt;&gt;0,1,0)))</f>
        <v>36.06996248961492</v>
      </c>
      <c r="J19" s="336">
        <f t="shared" si="4"/>
        <v>0</v>
      </c>
      <c r="K19" s="336">
        <f t="shared" si="4"/>
        <v>0</v>
      </c>
    </row>
    <row r="20" spans="1:11" ht="12.75">
      <c r="A20" t="s">
        <v>9</v>
      </c>
      <c r="B20" s="60">
        <f t="shared" si="1"/>
        <v>17170221.8</v>
      </c>
      <c r="C20" s="240">
        <v>0</v>
      </c>
      <c r="D20" s="240">
        <v>5746873</v>
      </c>
      <c r="E20" s="248">
        <v>11423348.8</v>
      </c>
      <c r="F20" s="240">
        <v>0</v>
      </c>
      <c r="G20" s="240">
        <v>0</v>
      </c>
      <c r="H20" s="336">
        <f t="shared" si="2"/>
        <v>33.46999862284831</v>
      </c>
      <c r="I20" s="336">
        <f>IF($B20&lt;&gt;0,(E20/$B20*100),(IF(E20&lt;&gt;0,1,0)))</f>
        <v>66.53000137715169</v>
      </c>
      <c r="J20" s="336">
        <f t="shared" si="4"/>
        <v>0</v>
      </c>
      <c r="K20" s="336">
        <f t="shared" si="4"/>
        <v>0</v>
      </c>
    </row>
    <row r="21" spans="1:11" ht="12.75">
      <c r="A21" t="s">
        <v>10</v>
      </c>
      <c r="B21" s="60">
        <f t="shared" si="1"/>
        <v>19303461</v>
      </c>
      <c r="C21" s="240">
        <v>0</v>
      </c>
      <c r="D21" s="240">
        <v>11466886</v>
      </c>
      <c r="E21" s="248">
        <v>7836575</v>
      </c>
      <c r="F21" s="240">
        <v>0</v>
      </c>
      <c r="G21" s="240">
        <v>0</v>
      </c>
      <c r="H21" s="336">
        <f t="shared" si="2"/>
        <v>59.403264523392984</v>
      </c>
      <c r="I21" s="336">
        <f>IF($B21&lt;&gt;0,(E21/$B21*100),(IF(E21&lt;&gt;0,1,0)))</f>
        <v>40.59673547660702</v>
      </c>
      <c r="J21" s="336">
        <f t="shared" si="4"/>
        <v>0</v>
      </c>
      <c r="K21" s="336">
        <f t="shared" si="4"/>
        <v>0</v>
      </c>
    </row>
    <row r="22" spans="2:11" ht="12.75">
      <c r="B22" s="60"/>
      <c r="C22" s="240"/>
      <c r="D22" s="240"/>
      <c r="E22" s="248"/>
      <c r="F22" s="240"/>
      <c r="G22" s="240"/>
      <c r="H22" s="336"/>
      <c r="I22" s="336"/>
      <c r="J22" s="336"/>
      <c r="K22" s="336"/>
    </row>
    <row r="23" spans="1:11" ht="12.75">
      <c r="A23" t="s">
        <v>11</v>
      </c>
      <c r="B23" s="60">
        <f t="shared" si="1"/>
        <v>68420267</v>
      </c>
      <c r="C23" s="240">
        <v>0</v>
      </c>
      <c r="D23" s="240">
        <v>51437190</v>
      </c>
      <c r="E23" s="248">
        <v>16983077</v>
      </c>
      <c r="F23" s="240">
        <v>0</v>
      </c>
      <c r="G23" s="240">
        <v>0</v>
      </c>
      <c r="H23" s="336">
        <f t="shared" si="2"/>
        <v>75.17829475877375</v>
      </c>
      <c r="I23" s="336">
        <f>IF($B23&lt;&gt;0,(E23/$B23*100),(IF(E23&lt;&gt;0,1,0)))</f>
        <v>24.821705241226258</v>
      </c>
      <c r="J23" s="336">
        <f aca="true" t="shared" si="5" ref="J23:K27">IF($B23&lt;&gt;0,(F23/$B23*100),(IF(F23&lt;&gt;0,1,0)))</f>
        <v>0</v>
      </c>
      <c r="K23" s="336">
        <f t="shared" si="5"/>
        <v>0</v>
      </c>
    </row>
    <row r="24" spans="1:11" ht="12.75">
      <c r="A24" t="s">
        <v>12</v>
      </c>
      <c r="B24" s="60">
        <f t="shared" si="1"/>
        <v>957305.35</v>
      </c>
      <c r="C24" s="240">
        <v>57325.33</v>
      </c>
      <c r="D24" s="240">
        <v>899980.02</v>
      </c>
      <c r="E24" s="248">
        <v>0</v>
      </c>
      <c r="F24" s="240">
        <v>0</v>
      </c>
      <c r="G24" s="240">
        <v>0</v>
      </c>
      <c r="H24" s="336">
        <f t="shared" si="2"/>
        <v>100</v>
      </c>
      <c r="I24" s="336">
        <f>IF($B24&lt;&gt;0,(E24/$B24*100),(IF(E24&lt;&gt;0,1,0)))</f>
        <v>0</v>
      </c>
      <c r="J24" s="336">
        <f t="shared" si="5"/>
        <v>0</v>
      </c>
      <c r="K24" s="336">
        <f t="shared" si="5"/>
        <v>0</v>
      </c>
    </row>
    <row r="25" spans="1:11" ht="12.75">
      <c r="A25" t="s">
        <v>13</v>
      </c>
      <c r="B25" s="60">
        <f t="shared" si="1"/>
        <v>87270058.92</v>
      </c>
      <c r="C25" s="240">
        <v>5093930.92</v>
      </c>
      <c r="D25" s="240">
        <v>64798532</v>
      </c>
      <c r="E25" s="248">
        <v>17377596</v>
      </c>
      <c r="F25" s="240">
        <v>0</v>
      </c>
      <c r="G25" s="240">
        <v>0</v>
      </c>
      <c r="H25" s="336">
        <f>IF(B25&lt;&gt;0,((+C25+D25)/B25*100),(IF(C25&lt;&gt;0,1,0)))</f>
        <v>80.08756242971035</v>
      </c>
      <c r="I25" s="336">
        <f>IF($B25&lt;&gt;0,(E25/$B25*100),(IF(E25&lt;&gt;0,1,0)))</f>
        <v>19.912437570289658</v>
      </c>
      <c r="J25" s="336">
        <f t="shared" si="5"/>
        <v>0</v>
      </c>
      <c r="K25" s="336">
        <f t="shared" si="5"/>
        <v>0</v>
      </c>
    </row>
    <row r="26" spans="1:11" ht="12.75">
      <c r="A26" t="s">
        <v>14</v>
      </c>
      <c r="B26" s="60">
        <f t="shared" si="1"/>
        <v>58843427</v>
      </c>
      <c r="C26" s="240">
        <v>195000</v>
      </c>
      <c r="D26" s="240">
        <v>39131498</v>
      </c>
      <c r="E26" s="248">
        <v>19516929</v>
      </c>
      <c r="F26" s="240">
        <v>0</v>
      </c>
      <c r="G26" s="240">
        <v>0</v>
      </c>
      <c r="H26" s="336">
        <f>IF(B26&lt;&gt;0,((+C27+D26)/B26*100),(IF(C27&lt;&gt;0,1,0)))</f>
        <v>66.50105202064455</v>
      </c>
      <c r="I26" s="336">
        <f>IF($B26&lt;&gt;0,(E26/$B26*100),(IF(E26&lt;&gt;0,1,0)))</f>
        <v>33.16756007429682</v>
      </c>
      <c r="J26" s="336">
        <f t="shared" si="5"/>
        <v>0</v>
      </c>
      <c r="K26" s="336">
        <f t="shared" si="5"/>
        <v>0</v>
      </c>
    </row>
    <row r="27" spans="1:11" ht="12.75">
      <c r="A27" t="s">
        <v>15</v>
      </c>
      <c r="B27" s="60">
        <f>SUM(C27:G27)</f>
        <v>798558</v>
      </c>
      <c r="C27" s="240">
        <v>0</v>
      </c>
      <c r="D27" s="240">
        <v>798558</v>
      </c>
      <c r="E27" s="248">
        <v>0</v>
      </c>
      <c r="F27" s="240">
        <v>0</v>
      </c>
      <c r="G27" s="240">
        <v>0</v>
      </c>
      <c r="H27" s="336">
        <f>IF(B27&lt;&gt;0,((+C28+D27)/B27*100),(IF(C28&lt;&gt;0,1,0)))</f>
        <v>100</v>
      </c>
      <c r="I27" s="336">
        <f>IF($B27&lt;&gt;0,(E27/$B27*100),(IF(E27&lt;&gt;0,1,0)))</f>
        <v>0</v>
      </c>
      <c r="J27" s="336">
        <f t="shared" si="5"/>
        <v>0</v>
      </c>
      <c r="K27" s="336">
        <f t="shared" si="5"/>
        <v>0</v>
      </c>
    </row>
    <row r="28" spans="2:11" ht="12.75">
      <c r="B28" s="60"/>
      <c r="C28" s="270"/>
      <c r="D28" s="270"/>
      <c r="E28" s="248"/>
      <c r="F28" s="240"/>
      <c r="G28" s="240"/>
      <c r="H28" s="336"/>
      <c r="I28" s="336"/>
      <c r="J28" s="336"/>
      <c r="K28" s="336"/>
    </row>
    <row r="29" spans="1:11" ht="12.75">
      <c r="A29" t="s">
        <v>16</v>
      </c>
      <c r="B29" s="60">
        <f t="shared" si="1"/>
        <v>287291902</v>
      </c>
      <c r="C29" s="240">
        <v>0</v>
      </c>
      <c r="D29" s="240">
        <v>249117941</v>
      </c>
      <c r="E29" s="248">
        <v>30112097</v>
      </c>
      <c r="F29" s="240">
        <v>0</v>
      </c>
      <c r="G29" s="240">
        <v>8061864</v>
      </c>
      <c r="H29" s="336">
        <f>IF(B29&lt;&gt;0,((+C30+D30)/B29*100),(IF(C30&lt;&gt;0,1,0)))</f>
        <v>12.11077435799078</v>
      </c>
      <c r="I29" s="336">
        <f>IF($B29&lt;&gt;0,(E29/$B29*100),(IF(E29&lt;&gt;0,1,0)))</f>
        <v>10.481359478068407</v>
      </c>
      <c r="J29" s="336">
        <f aca="true" t="shared" si="6" ref="J29:K33">IF($B29&lt;&gt;0,(F29/$B29*100),(IF(F29&lt;&gt;0,1,0)))</f>
        <v>0</v>
      </c>
      <c r="K29" s="336">
        <f t="shared" si="6"/>
        <v>2.8061577593648983</v>
      </c>
    </row>
    <row r="30" spans="1:11" ht="12.75">
      <c r="A30" t="s">
        <v>17</v>
      </c>
      <c r="B30" s="60">
        <f t="shared" si="1"/>
        <v>44436503</v>
      </c>
      <c r="C30" s="240">
        <v>0</v>
      </c>
      <c r="D30" s="240">
        <v>34793274</v>
      </c>
      <c r="E30" s="248">
        <v>9643229</v>
      </c>
      <c r="F30" s="240">
        <v>0</v>
      </c>
      <c r="G30" s="240">
        <v>0</v>
      </c>
      <c r="H30" s="336">
        <f>IF(B30&lt;&gt;0,((+C31+D31)/B30*100),(IF(C31&lt;&gt;0,1,0)))</f>
        <v>7.323628121681852</v>
      </c>
      <c r="I30" s="336">
        <f>IF($B30&lt;&gt;0,(E30/$B30*100),(IF(E30&lt;&gt;0,1,0)))</f>
        <v>21.70114286445988</v>
      </c>
      <c r="J30" s="336">
        <f t="shared" si="6"/>
        <v>0</v>
      </c>
      <c r="K30" s="336">
        <f t="shared" si="6"/>
        <v>0</v>
      </c>
    </row>
    <row r="31" spans="1:11" ht="12.75">
      <c r="A31" t="s">
        <v>18</v>
      </c>
      <c r="B31" s="60">
        <f t="shared" si="1"/>
        <v>4405187.5</v>
      </c>
      <c r="C31" s="240">
        <v>0</v>
      </c>
      <c r="D31" s="240">
        <v>3254364.23</v>
      </c>
      <c r="E31" s="248">
        <v>1150823.27</v>
      </c>
      <c r="F31" s="240">
        <v>0</v>
      </c>
      <c r="G31" s="240">
        <v>0</v>
      </c>
      <c r="H31" s="336">
        <f>IF(B31&lt;&gt;0,((+C32+D32)/B31*100),(IF(C32&lt;&gt;0,1,0)))</f>
        <v>124.80684329554643</v>
      </c>
      <c r="I31" s="336">
        <f>IF($B31&lt;&gt;0,(E31/$B31*100),(IF(E31&lt;&gt;0,1,0)))</f>
        <v>26.124274392406683</v>
      </c>
      <c r="J31" s="336">
        <f t="shared" si="6"/>
        <v>0</v>
      </c>
      <c r="K31" s="336">
        <f t="shared" si="6"/>
        <v>0</v>
      </c>
    </row>
    <row r="32" spans="1:11" ht="12.75">
      <c r="A32" t="s">
        <v>19</v>
      </c>
      <c r="B32" s="60">
        <f t="shared" si="1"/>
        <v>8755659.74</v>
      </c>
      <c r="C32" s="240">
        <v>611771.04</v>
      </c>
      <c r="D32" s="240">
        <v>4886204.42</v>
      </c>
      <c r="E32" s="248">
        <v>3257684.28</v>
      </c>
      <c r="F32" s="240">
        <v>0</v>
      </c>
      <c r="G32" s="240">
        <v>0</v>
      </c>
      <c r="H32" s="336">
        <f>IF(B32&lt;&gt;0,((+C32+D32)/B32*100),(IF(C32&lt;&gt;0,1,0)))</f>
        <v>62.79338877095285</v>
      </c>
      <c r="I32" s="336">
        <f>IF($B32&lt;&gt;0,(E32/$B32*100),(IF(E32&lt;&gt;0,1,0)))</f>
        <v>37.20661122904714</v>
      </c>
      <c r="J32" s="336">
        <f t="shared" si="6"/>
        <v>0</v>
      </c>
      <c r="K32" s="336">
        <f t="shared" si="6"/>
        <v>0</v>
      </c>
    </row>
    <row r="33" spans="1:11" ht="12.75">
      <c r="A33" t="s">
        <v>20</v>
      </c>
      <c r="B33" s="60">
        <f t="shared" si="1"/>
        <v>8505194.16</v>
      </c>
      <c r="C33" s="240">
        <v>0</v>
      </c>
      <c r="D33" s="240">
        <v>2505194.16</v>
      </c>
      <c r="E33" s="248">
        <v>6000000</v>
      </c>
      <c r="F33" s="240">
        <v>0</v>
      </c>
      <c r="G33" s="240">
        <v>0</v>
      </c>
      <c r="H33" s="336">
        <f t="shared" si="2"/>
        <v>29.45487325594458</v>
      </c>
      <c r="I33" s="336">
        <f>IF($B33&lt;&gt;0,(E33/$B33*100),(IF(E33&lt;&gt;0,1,0)))</f>
        <v>70.54512674405542</v>
      </c>
      <c r="J33" s="336">
        <f t="shared" si="6"/>
        <v>0</v>
      </c>
      <c r="K33" s="336">
        <f t="shared" si="6"/>
        <v>0</v>
      </c>
    </row>
    <row r="34" spans="2:11" ht="12.75">
      <c r="B34" s="60"/>
      <c r="C34" s="240"/>
      <c r="D34" s="240"/>
      <c r="E34" s="248"/>
      <c r="F34" s="240"/>
      <c r="G34" s="240"/>
      <c r="H34" s="336"/>
      <c r="I34" s="336"/>
      <c r="J34" s="336"/>
      <c r="K34" s="336"/>
    </row>
    <row r="35" spans="1:11" ht="12.75">
      <c r="A35" t="s">
        <v>21</v>
      </c>
      <c r="B35" s="60">
        <f t="shared" si="1"/>
        <v>1325023.97</v>
      </c>
      <c r="C35" s="240">
        <v>1144.17</v>
      </c>
      <c r="D35" s="240">
        <v>1289859.8</v>
      </c>
      <c r="E35" s="248">
        <v>34020</v>
      </c>
      <c r="F35" s="240">
        <v>0</v>
      </c>
      <c r="G35" s="240">
        <v>0</v>
      </c>
      <c r="H35" s="336">
        <f t="shared" si="2"/>
        <v>97.43249927773005</v>
      </c>
      <c r="I35" s="336">
        <f>IF($B35&lt;&gt;0,(E35/$B35*100),(IF(E35&lt;&gt;0,1,0)))</f>
        <v>2.5675007222699526</v>
      </c>
      <c r="J35" s="336">
        <f aca="true" t="shared" si="7" ref="J35:K38">IF($B35&lt;&gt;0,(F35/$B35*100),(IF(F35&lt;&gt;0,1,0)))</f>
        <v>0</v>
      </c>
      <c r="K35" s="336">
        <f t="shared" si="7"/>
        <v>0</v>
      </c>
    </row>
    <row r="36" spans="1:11" ht="12.75">
      <c r="A36" t="s">
        <v>22</v>
      </c>
      <c r="B36" s="60">
        <f t="shared" si="1"/>
        <v>18848682.1</v>
      </c>
      <c r="C36" s="240">
        <v>843212.1000000001</v>
      </c>
      <c r="D36" s="240">
        <v>0</v>
      </c>
      <c r="E36" s="248">
        <v>9953060</v>
      </c>
      <c r="F36" s="240">
        <v>0</v>
      </c>
      <c r="G36" s="240">
        <v>8052410</v>
      </c>
      <c r="H36" s="336">
        <f t="shared" si="2"/>
        <v>4.4735865113879765</v>
      </c>
      <c r="I36" s="336">
        <f>IF($B36&lt;&gt;0,(E36/$B36*100),(IF(E36&lt;&gt;0,1,0)))</f>
        <v>52.805071183199594</v>
      </c>
      <c r="J36" s="336">
        <f t="shared" si="7"/>
        <v>0</v>
      </c>
      <c r="K36" s="336">
        <f t="shared" si="7"/>
        <v>42.72134230541242</v>
      </c>
    </row>
    <row r="37" spans="1:11" ht="12.75">
      <c r="A37" t="s">
        <v>23</v>
      </c>
      <c r="B37" s="60">
        <f t="shared" si="1"/>
        <v>32560425.5</v>
      </c>
      <c r="C37" s="240">
        <v>756733.1499999999</v>
      </c>
      <c r="D37" s="240">
        <v>0</v>
      </c>
      <c r="E37" s="248">
        <v>13170000</v>
      </c>
      <c r="F37" s="240">
        <v>0</v>
      </c>
      <c r="G37" s="240">
        <v>18633692.349999998</v>
      </c>
      <c r="H37" s="336">
        <f t="shared" si="2"/>
        <v>2.324088639443609</v>
      </c>
      <c r="I37" s="336">
        <f>IF($B37&lt;&gt;0,(E37/$B37*100),(IF(E37&lt;&gt;0,1,0)))</f>
        <v>40.44787436822654</v>
      </c>
      <c r="J37" s="336">
        <f t="shared" si="7"/>
        <v>0</v>
      </c>
      <c r="K37" s="336">
        <f t="shared" si="7"/>
        <v>57.228036992329834</v>
      </c>
    </row>
    <row r="38" spans="1:11" ht="12.75">
      <c r="A38" s="12" t="s">
        <v>24</v>
      </c>
      <c r="B38" s="226">
        <f t="shared" si="1"/>
        <v>11903153.09</v>
      </c>
      <c r="C38" s="242">
        <v>0</v>
      </c>
      <c r="D38" s="242">
        <v>11903153.09</v>
      </c>
      <c r="E38" s="230">
        <v>0</v>
      </c>
      <c r="F38" s="242">
        <v>0</v>
      </c>
      <c r="G38" s="242">
        <v>0</v>
      </c>
      <c r="H38" s="366">
        <f t="shared" si="2"/>
        <v>100</v>
      </c>
      <c r="I38" s="366">
        <f>IF($B38&lt;&gt;0,(E38/$B38*100),(IF(E38&lt;&gt;0,1,0)))</f>
        <v>0</v>
      </c>
      <c r="J38" s="366">
        <f t="shared" si="7"/>
        <v>0</v>
      </c>
      <c r="K38" s="366">
        <f t="shared" si="7"/>
        <v>0</v>
      </c>
    </row>
    <row r="39" spans="1:10" ht="12.75">
      <c r="A39" s="21" t="s">
        <v>216</v>
      </c>
      <c r="B39" s="3"/>
      <c r="C39" s="63"/>
      <c r="D39" s="63"/>
      <c r="E39" s="63"/>
      <c r="F39" s="63"/>
      <c r="G39" s="63"/>
      <c r="H39" s="72"/>
      <c r="I39" s="72"/>
      <c r="J39" s="72"/>
    </row>
    <row r="40" spans="1:4" ht="12.75">
      <c r="A40" s="21"/>
      <c r="D40" s="172"/>
    </row>
    <row r="41" ht="12.75">
      <c r="D41" s="172"/>
    </row>
    <row r="42" ht="12.75">
      <c r="D42" s="172"/>
    </row>
    <row r="43" ht="12.75">
      <c r="D43" s="172"/>
    </row>
    <row r="44" ht="12.75">
      <c r="D44" s="172"/>
    </row>
    <row r="45" ht="12.75">
      <c r="D45" s="172"/>
    </row>
  </sheetData>
  <sheetProtection password="CAF5" sheet="1" objects="1" scenarios="1"/>
  <mergeCells count="8">
    <mergeCell ref="A1:K1"/>
    <mergeCell ref="A3:K3"/>
    <mergeCell ref="C7:D7"/>
    <mergeCell ref="A4:J4"/>
    <mergeCell ref="C6:F6"/>
    <mergeCell ref="H6:K6"/>
    <mergeCell ref="E7:E8"/>
    <mergeCell ref="F7:F8"/>
  </mergeCells>
  <printOptions horizontalCentered="1"/>
  <pageMargins left="0.5" right="0.52" top="0.83" bottom="1" header="0.67" footer="0.5"/>
  <pageSetup fitToHeight="1" fitToWidth="1" horizontalDpi="600" verticalDpi="600" orientation="landscape" scale="93" r:id="rId1"/>
  <headerFooter scaleWithDoc="0" alignWithMargins="0">
    <oddFooter>&amp;L&amp;"Arial,Italic"MSDE - LFRO  10  / 2011&amp;C- 4 -&amp;R&amp;"Arial,Italic"Selected Financial Data-Part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zoomScalePageLayoutView="0" workbookViewId="0" topLeftCell="A7">
      <selection activeCell="C45" sqref="C45"/>
    </sheetView>
  </sheetViews>
  <sheetFormatPr defaultColWidth="9.140625" defaultRowHeight="12.75"/>
  <cols>
    <col min="1" max="1" width="15.7109375" style="112" customWidth="1"/>
    <col min="2" max="3" width="14.8515625" style="112" customWidth="1"/>
    <col min="4" max="4" width="13.28125" style="112" customWidth="1"/>
    <col min="5" max="5" width="14.8515625" style="112" customWidth="1"/>
    <col min="6" max="7" width="13.28125" style="112" customWidth="1"/>
    <col min="8" max="8" width="2.7109375" style="112" customWidth="1"/>
    <col min="9" max="11" width="9.140625" style="112" customWidth="1"/>
    <col min="12" max="12" width="11.57421875" style="112" customWidth="1"/>
    <col min="13" max="13" width="9.140625" style="112" customWidth="1"/>
  </cols>
  <sheetData>
    <row r="1" spans="1:13" ht="12.75">
      <c r="A1" s="409" t="s">
        <v>91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84"/>
      <c r="M1" s="84"/>
    </row>
    <row r="2" spans="1:13" ht="12.75">
      <c r="A2" s="17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2.75">
      <c r="A3" s="410" t="s">
        <v>269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84"/>
      <c r="M3" s="84"/>
    </row>
    <row r="4" spans="1:13" ht="12.75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84"/>
      <c r="M4" s="84"/>
    </row>
    <row r="5" spans="1:13" ht="13.5" thickBot="1">
      <c r="A5" s="8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84"/>
    </row>
    <row r="6" spans="1:56" ht="15" customHeight="1" thickTop="1">
      <c r="A6" s="148" t="s">
        <v>80</v>
      </c>
      <c r="B6" s="150" t="s">
        <v>43</v>
      </c>
      <c r="C6" s="411" t="s">
        <v>83</v>
      </c>
      <c r="D6" s="411"/>
      <c r="E6" s="411"/>
      <c r="F6" s="411"/>
      <c r="G6" s="175"/>
      <c r="H6" s="175"/>
      <c r="I6" s="411" t="s">
        <v>85</v>
      </c>
      <c r="J6" s="411"/>
      <c r="K6" s="411"/>
      <c r="L6" s="411"/>
      <c r="M6" s="176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13" ht="12.75">
      <c r="A7" s="175" t="s">
        <v>33</v>
      </c>
      <c r="B7" s="151" t="s">
        <v>86</v>
      </c>
      <c r="C7" s="408" t="s">
        <v>80</v>
      </c>
      <c r="D7" s="408"/>
      <c r="E7" s="162"/>
      <c r="F7" s="162"/>
      <c r="G7" s="151" t="s">
        <v>82</v>
      </c>
      <c r="H7" s="151"/>
      <c r="I7" s="150"/>
      <c r="J7" s="150"/>
      <c r="K7" s="150"/>
      <c r="L7" s="150" t="s">
        <v>82</v>
      </c>
      <c r="M7" s="84"/>
    </row>
    <row r="8" spans="1:13" ht="13.5" thickBot="1">
      <c r="A8" s="177" t="s">
        <v>137</v>
      </c>
      <c r="B8" s="152" t="s">
        <v>87</v>
      </c>
      <c r="C8" s="178" t="s">
        <v>81</v>
      </c>
      <c r="D8" s="178" t="s">
        <v>214</v>
      </c>
      <c r="E8" s="178" t="s">
        <v>44</v>
      </c>
      <c r="F8" s="178" t="s">
        <v>51</v>
      </c>
      <c r="G8" s="178" t="s">
        <v>84</v>
      </c>
      <c r="H8" s="178"/>
      <c r="I8" s="152" t="s">
        <v>80</v>
      </c>
      <c r="J8" s="152" t="s">
        <v>44</v>
      </c>
      <c r="K8" s="179" t="s">
        <v>51</v>
      </c>
      <c r="L8" s="178" t="s">
        <v>84</v>
      </c>
      <c r="M8" s="84"/>
    </row>
    <row r="9" spans="1:13" ht="12.75">
      <c r="A9" s="175" t="s">
        <v>0</v>
      </c>
      <c r="B9" s="90">
        <f aca="true" t="shared" si="0" ref="B9:G9">SUM(B11:B38)</f>
        <v>471528689.45</v>
      </c>
      <c r="C9" s="381">
        <f>SUM(C12:C38)</f>
        <v>444496691.78</v>
      </c>
      <c r="D9" s="381">
        <f>SUM(D11:D38)</f>
        <v>23645871.669999998</v>
      </c>
      <c r="E9" s="381">
        <f t="shared" si="0"/>
        <v>0</v>
      </c>
      <c r="F9" s="381">
        <f t="shared" si="0"/>
        <v>0</v>
      </c>
      <c r="G9" s="381">
        <f t="shared" si="0"/>
        <v>3386126</v>
      </c>
      <c r="H9" s="90"/>
      <c r="I9" s="180">
        <f>IF(B9&lt;&gt;0,((+C9+D9)/B9),(IF(C9&lt;&gt;0,1,0)))</f>
        <v>0.9928188335603723</v>
      </c>
      <c r="J9" s="180">
        <f>IF($B9&lt;&gt;0,(E9/$B9),(IF(E9&lt;&gt;0,1,0)))</f>
        <v>0</v>
      </c>
      <c r="K9" s="180">
        <f>IF($B9&lt;&gt;0,(F9/$B9),(IF(F9&lt;&gt;0,1,0)))</f>
        <v>0</v>
      </c>
      <c r="L9" s="180">
        <f>IF($B9&lt;&gt;0,(G9/$B9),(IF(G9&lt;&gt;0,1,0)))</f>
        <v>0.00718116643962776</v>
      </c>
      <c r="M9" s="84"/>
    </row>
    <row r="10" spans="1:13" ht="12.75">
      <c r="A10" s="175"/>
      <c r="B10" s="162"/>
      <c r="C10" s="324"/>
      <c r="D10" s="229"/>
      <c r="E10" s="266"/>
      <c r="F10" s="266"/>
      <c r="G10" s="266"/>
      <c r="H10" s="150"/>
      <c r="I10" s="181"/>
      <c r="J10" s="181"/>
      <c r="K10" s="163"/>
      <c r="L10" s="163"/>
      <c r="M10" s="84"/>
    </row>
    <row r="11" spans="1:12" ht="12.75">
      <c r="A11" s="84" t="s">
        <v>1</v>
      </c>
      <c r="B11" s="149">
        <f aca="true" t="shared" si="1" ref="B11:B33">SUM(C11:G11)</f>
        <v>1966099</v>
      </c>
      <c r="C11" s="229">
        <v>0</v>
      </c>
      <c r="D11" s="229">
        <v>1966099</v>
      </c>
      <c r="E11" s="229">
        <v>0</v>
      </c>
      <c r="F11" s="229">
        <v>0</v>
      </c>
      <c r="G11" s="229">
        <v>0</v>
      </c>
      <c r="H11" s="113"/>
      <c r="I11" s="115">
        <f aca="true" t="shared" si="2" ref="I11:I38">IF(B11&lt;&gt;0,((+C11+D11)/B11*100),(IF(C11&lt;&gt;0,1,0)))</f>
        <v>100</v>
      </c>
      <c r="J11" s="115">
        <f>IF($B11&lt;&gt;0,(E11/$B11*100),(IF(E11&lt;&gt;0,1,0)))</f>
        <v>0</v>
      </c>
      <c r="K11" s="115">
        <f aca="true" t="shared" si="3" ref="K11:L15">IF($B11&lt;&gt;0,(F11/$B11*100),(IF(F11&lt;&gt;0,1,0)))</f>
        <v>0</v>
      </c>
      <c r="L11" s="115">
        <f t="shared" si="3"/>
        <v>0</v>
      </c>
    </row>
    <row r="12" spans="1:12" ht="12.75">
      <c r="A12" s="112" t="s">
        <v>2</v>
      </c>
      <c r="B12" s="113">
        <f t="shared" si="1"/>
        <v>37430397</v>
      </c>
      <c r="C12" s="236">
        <v>37430397</v>
      </c>
      <c r="D12" s="229"/>
      <c r="E12" s="229">
        <v>0</v>
      </c>
      <c r="F12" s="229">
        <v>0</v>
      </c>
      <c r="G12" s="229">
        <v>0</v>
      </c>
      <c r="H12" s="116"/>
      <c r="I12" s="115">
        <f t="shared" si="2"/>
        <v>100</v>
      </c>
      <c r="J12" s="115">
        <f>IF($B12&lt;&gt;0,(E12/$B12*100),(IF(E12&lt;&gt;0,1,0)))</f>
        <v>0</v>
      </c>
      <c r="K12" s="115">
        <f t="shared" si="3"/>
        <v>0</v>
      </c>
      <c r="L12" s="115">
        <f t="shared" si="3"/>
        <v>0</v>
      </c>
    </row>
    <row r="13" spans="1:12" ht="12.75">
      <c r="A13" s="112" t="s">
        <v>215</v>
      </c>
      <c r="B13" s="113">
        <f t="shared" si="1"/>
        <v>6737395.27</v>
      </c>
      <c r="C13" s="229">
        <v>6737395.27</v>
      </c>
      <c r="D13" s="229">
        <v>0</v>
      </c>
      <c r="E13" s="229">
        <v>0</v>
      </c>
      <c r="F13" s="229">
        <v>0</v>
      </c>
      <c r="G13" s="229">
        <v>0</v>
      </c>
      <c r="H13" s="116"/>
      <c r="I13" s="115">
        <f t="shared" si="2"/>
        <v>100</v>
      </c>
      <c r="J13" s="115">
        <f>IF($B13&lt;&gt;0,(E13/$B13*100),(IF(E13&lt;&gt;0,1,0)))</f>
        <v>0</v>
      </c>
      <c r="K13" s="115">
        <f t="shared" si="3"/>
        <v>0</v>
      </c>
      <c r="L13" s="115">
        <f t="shared" si="3"/>
        <v>0</v>
      </c>
    </row>
    <row r="14" spans="1:12" ht="12.75">
      <c r="A14" s="112" t="s">
        <v>4</v>
      </c>
      <c r="B14" s="113">
        <f t="shared" si="1"/>
        <v>26931693</v>
      </c>
      <c r="C14" s="236">
        <v>26931693</v>
      </c>
      <c r="D14" s="229">
        <v>0</v>
      </c>
      <c r="E14" s="229">
        <v>0</v>
      </c>
      <c r="F14" s="229">
        <v>0</v>
      </c>
      <c r="G14" s="229">
        <v>0</v>
      </c>
      <c r="H14" s="116"/>
      <c r="I14" s="115">
        <f t="shared" si="2"/>
        <v>100</v>
      </c>
      <c r="J14" s="115">
        <f>IF($B14&lt;&gt;0,(E14/$B14*100),(IF(E14&lt;&gt;0,1,0)))</f>
        <v>0</v>
      </c>
      <c r="K14" s="115">
        <f t="shared" si="3"/>
        <v>0</v>
      </c>
      <c r="L14" s="115">
        <f t="shared" si="3"/>
        <v>0</v>
      </c>
    </row>
    <row r="15" spans="1:12" ht="12.75">
      <c r="A15" s="112" t="s">
        <v>5</v>
      </c>
      <c r="B15" s="113">
        <f t="shared" si="1"/>
        <v>6266455.12</v>
      </c>
      <c r="C15" s="236">
        <v>6266455.12</v>
      </c>
      <c r="D15" s="229">
        <v>0</v>
      </c>
      <c r="E15" s="229">
        <v>0</v>
      </c>
      <c r="F15" s="229">
        <v>0</v>
      </c>
      <c r="G15" s="229">
        <v>0</v>
      </c>
      <c r="H15" s="116"/>
      <c r="I15" s="115">
        <f t="shared" si="2"/>
        <v>100</v>
      </c>
      <c r="J15" s="115">
        <f>IF($B15&lt;&gt;0,(E15/$B15*100),(IF(E15&lt;&gt;0,1,0)))</f>
        <v>0</v>
      </c>
      <c r="K15" s="115">
        <f t="shared" si="3"/>
        <v>0</v>
      </c>
      <c r="L15" s="115">
        <f t="shared" si="3"/>
        <v>0</v>
      </c>
    </row>
    <row r="16" spans="2:12" ht="12.75">
      <c r="B16" s="113"/>
      <c r="C16" s="240"/>
      <c r="D16" s="229"/>
      <c r="E16" s="229"/>
      <c r="F16" s="229"/>
      <c r="G16" s="229"/>
      <c r="H16" s="116"/>
      <c r="I16" s="115"/>
      <c r="J16" s="115"/>
      <c r="K16" s="115"/>
      <c r="L16" s="115"/>
    </row>
    <row r="17" spans="1:12" ht="12.75">
      <c r="A17" s="112" t="s">
        <v>6</v>
      </c>
      <c r="B17" s="113">
        <f t="shared" si="1"/>
        <v>1513484.22</v>
      </c>
      <c r="C17" s="229">
        <v>0</v>
      </c>
      <c r="D17" s="240">
        <v>1513484.22</v>
      </c>
      <c r="E17" s="229">
        <v>0</v>
      </c>
      <c r="F17" s="229">
        <v>0</v>
      </c>
      <c r="G17" s="229">
        <v>0</v>
      </c>
      <c r="H17" s="116"/>
      <c r="I17" s="115">
        <f t="shared" si="2"/>
        <v>100</v>
      </c>
      <c r="J17" s="115">
        <f>IF($B17&lt;&gt;0,(E17/$B17*100),(IF(E17&lt;&gt;0,1,0)))</f>
        <v>0</v>
      </c>
      <c r="K17" s="115">
        <f aca="true" t="shared" si="4" ref="K17:L21">IF($B17&lt;&gt;0,(F17/$B17*100),(IF(F17&lt;&gt;0,1,0)))</f>
        <v>0</v>
      </c>
      <c r="L17" s="115">
        <f t="shared" si="4"/>
        <v>0</v>
      </c>
    </row>
    <row r="18" spans="1:12" ht="12.75">
      <c r="A18" s="112" t="s">
        <v>7</v>
      </c>
      <c r="B18" s="113">
        <f t="shared" si="1"/>
        <v>11564149.2</v>
      </c>
      <c r="C18" s="240">
        <v>11564149.2</v>
      </c>
      <c r="D18" s="229">
        <v>0</v>
      </c>
      <c r="E18" s="229">
        <v>0</v>
      </c>
      <c r="F18" s="229">
        <v>0</v>
      </c>
      <c r="G18" s="229">
        <v>0</v>
      </c>
      <c r="H18" s="116"/>
      <c r="I18" s="115">
        <f t="shared" si="2"/>
        <v>100</v>
      </c>
      <c r="J18" s="115">
        <f>IF($B18&lt;&gt;0,(E18/$B18*100),(IF(E18&lt;&gt;0,1,0)))</f>
        <v>0</v>
      </c>
      <c r="K18" s="115">
        <f t="shared" si="4"/>
        <v>0</v>
      </c>
      <c r="L18" s="115">
        <f t="shared" si="4"/>
        <v>0</v>
      </c>
    </row>
    <row r="19" spans="1:12" ht="12.75">
      <c r="A19" s="112" t="s">
        <v>8</v>
      </c>
      <c r="B19" s="113">
        <f t="shared" si="1"/>
        <v>9023856</v>
      </c>
      <c r="C19" s="229">
        <v>0</v>
      </c>
      <c r="D19" s="229">
        <v>9023856</v>
      </c>
      <c r="E19" s="229">
        <v>0</v>
      </c>
      <c r="F19" s="229">
        <v>0</v>
      </c>
      <c r="G19" s="229">
        <v>0</v>
      </c>
      <c r="H19" s="116"/>
      <c r="I19" s="115">
        <f>IF(B19&lt;&gt;0,((+C19+D19)/B19*100),(IF(C19&lt;&gt;0,1,0)))</f>
        <v>100</v>
      </c>
      <c r="J19" s="115">
        <f>IF($B19&lt;&gt;0,(E19/$B19*100),(IF(E19&lt;&gt;0,1,0)))</f>
        <v>0</v>
      </c>
      <c r="K19" s="115">
        <f t="shared" si="4"/>
        <v>0</v>
      </c>
      <c r="L19" s="115">
        <f t="shared" si="4"/>
        <v>0</v>
      </c>
    </row>
    <row r="20" spans="1:12" ht="12.75">
      <c r="A20" s="112" t="s">
        <v>9</v>
      </c>
      <c r="B20" s="113">
        <f t="shared" si="1"/>
        <v>4704373</v>
      </c>
      <c r="C20" s="240">
        <v>4704373</v>
      </c>
      <c r="D20" s="229">
        <v>0</v>
      </c>
      <c r="E20" s="229">
        <v>0</v>
      </c>
      <c r="F20" s="229">
        <v>0</v>
      </c>
      <c r="G20" s="229">
        <v>0</v>
      </c>
      <c r="H20" s="116"/>
      <c r="I20" s="115">
        <f t="shared" si="2"/>
        <v>100</v>
      </c>
      <c r="J20" s="115">
        <f>IF($B20&lt;&gt;0,(E20/$B20*100),(IF(E20&lt;&gt;0,1,0)))</f>
        <v>0</v>
      </c>
      <c r="K20" s="115">
        <f t="shared" si="4"/>
        <v>0</v>
      </c>
      <c r="L20" s="115">
        <f t="shared" si="4"/>
        <v>0</v>
      </c>
    </row>
    <row r="21" spans="1:12" ht="12.75">
      <c r="A21" s="112" t="s">
        <v>10</v>
      </c>
      <c r="B21" s="113">
        <f t="shared" si="1"/>
        <v>0</v>
      </c>
      <c r="C21" s="240">
        <v>0</v>
      </c>
      <c r="D21" s="229">
        <v>0</v>
      </c>
      <c r="E21" s="229">
        <v>0</v>
      </c>
      <c r="F21" s="229">
        <v>0</v>
      </c>
      <c r="G21" s="229">
        <v>0</v>
      </c>
      <c r="H21" s="116"/>
      <c r="I21" s="115">
        <f t="shared" si="2"/>
        <v>0</v>
      </c>
      <c r="J21" s="115">
        <f>IF($B21&lt;&gt;0,(E21/$B21*100),(IF(E21&lt;&gt;0,1,0)))</f>
        <v>0</v>
      </c>
      <c r="K21" s="115">
        <f t="shared" si="4"/>
        <v>0</v>
      </c>
      <c r="L21" s="115">
        <f t="shared" si="4"/>
        <v>0</v>
      </c>
    </row>
    <row r="22" spans="2:12" ht="12.75">
      <c r="B22" s="113"/>
      <c r="C22" s="240"/>
      <c r="D22" s="229"/>
      <c r="E22" s="229"/>
      <c r="F22" s="229"/>
      <c r="G22" s="229"/>
      <c r="H22" s="116"/>
      <c r="I22" s="115"/>
      <c r="J22" s="115"/>
      <c r="K22" s="115"/>
      <c r="L22" s="115"/>
    </row>
    <row r="23" spans="1:12" ht="12.75">
      <c r="A23" s="112" t="s">
        <v>11</v>
      </c>
      <c r="B23" s="113">
        <f t="shared" si="1"/>
        <v>27675776</v>
      </c>
      <c r="C23" s="240">
        <v>27675776</v>
      </c>
      <c r="D23" s="229">
        <v>0</v>
      </c>
      <c r="E23" s="229">
        <v>0</v>
      </c>
      <c r="F23" s="229">
        <v>0</v>
      </c>
      <c r="G23" s="229">
        <v>0</v>
      </c>
      <c r="H23" s="116"/>
      <c r="I23" s="115">
        <f t="shared" si="2"/>
        <v>100</v>
      </c>
      <c r="J23" s="115">
        <f>IF($B23&lt;&gt;0,(E23/$B23*100),(IF(E23&lt;&gt;0,1,0)))</f>
        <v>0</v>
      </c>
      <c r="K23" s="115">
        <f aca="true" t="shared" si="5" ref="K23:L27">IF($B23&lt;&gt;0,(F23/$B23*100),(IF(F23&lt;&gt;0,1,0)))</f>
        <v>0</v>
      </c>
      <c r="L23" s="115">
        <f t="shared" si="5"/>
        <v>0</v>
      </c>
    </row>
    <row r="24" spans="1:12" ht="12.75">
      <c r="A24" s="112" t="s">
        <v>12</v>
      </c>
      <c r="B24" s="113">
        <f t="shared" si="1"/>
        <v>217602.64</v>
      </c>
      <c r="C24" s="229">
        <v>211817.19</v>
      </c>
      <c r="D24" s="229">
        <v>5785.45</v>
      </c>
      <c r="E24" s="229">
        <v>0</v>
      </c>
      <c r="F24" s="229">
        <v>0</v>
      </c>
      <c r="G24" s="229">
        <v>0</v>
      </c>
      <c r="H24" s="116"/>
      <c r="I24" s="115">
        <f t="shared" si="2"/>
        <v>100</v>
      </c>
      <c r="J24" s="115">
        <f>IF($B24&lt;&gt;0,(E24/$B24*100),(IF(E24&lt;&gt;0,1,0)))</f>
        <v>0</v>
      </c>
      <c r="K24" s="115">
        <f t="shared" si="5"/>
        <v>0</v>
      </c>
      <c r="L24" s="115">
        <f t="shared" si="5"/>
        <v>0</v>
      </c>
    </row>
    <row r="25" spans="1:12" ht="12.75">
      <c r="A25" s="112" t="s">
        <v>13</v>
      </c>
      <c r="B25" s="113">
        <f t="shared" si="1"/>
        <v>15861041</v>
      </c>
      <c r="C25" s="240">
        <v>15861041</v>
      </c>
      <c r="D25" s="229">
        <v>0</v>
      </c>
      <c r="E25" s="229">
        <v>0</v>
      </c>
      <c r="F25" s="229">
        <v>0</v>
      </c>
      <c r="G25" s="229">
        <v>0</v>
      </c>
      <c r="H25" s="116"/>
      <c r="I25" s="115">
        <f>IF(B25&lt;&gt;0,((+C25+D25)/B25*100),(IF(C25&lt;&gt;0,1,0)))</f>
        <v>100</v>
      </c>
      <c r="J25" s="115">
        <f>IF($B25&lt;&gt;0,(E25/$B25*100),(IF(E25&lt;&gt;0,1,0)))</f>
        <v>0</v>
      </c>
      <c r="K25" s="115">
        <f t="shared" si="5"/>
        <v>0</v>
      </c>
      <c r="L25" s="115">
        <f t="shared" si="5"/>
        <v>0</v>
      </c>
    </row>
    <row r="26" spans="1:12" ht="12.75">
      <c r="A26" s="112" t="s">
        <v>14</v>
      </c>
      <c r="B26" s="113">
        <f t="shared" si="1"/>
        <v>35004449</v>
      </c>
      <c r="C26" s="382">
        <v>35004449</v>
      </c>
      <c r="D26" s="229">
        <v>0</v>
      </c>
      <c r="E26" s="229">
        <v>0</v>
      </c>
      <c r="F26" s="229">
        <v>0</v>
      </c>
      <c r="G26" s="229">
        <v>0</v>
      </c>
      <c r="H26" s="116"/>
      <c r="I26" s="115">
        <f t="shared" si="2"/>
        <v>100</v>
      </c>
      <c r="J26" s="115">
        <f>IF($B26&lt;&gt;0,(E26/$B26*100),(IF(E26&lt;&gt;0,1,0)))</f>
        <v>0</v>
      </c>
      <c r="K26" s="115">
        <f t="shared" si="5"/>
        <v>0</v>
      </c>
      <c r="L26" s="115">
        <f t="shared" si="5"/>
        <v>0</v>
      </c>
    </row>
    <row r="27" spans="1:12" ht="12.75">
      <c r="A27" s="112" t="s">
        <v>15</v>
      </c>
      <c r="B27" s="113">
        <f t="shared" si="1"/>
        <v>0</v>
      </c>
      <c r="C27" s="229">
        <v>0</v>
      </c>
      <c r="D27" s="229">
        <v>0</v>
      </c>
      <c r="E27" s="229">
        <v>0</v>
      </c>
      <c r="F27" s="229">
        <v>0</v>
      </c>
      <c r="G27" s="229">
        <v>0</v>
      </c>
      <c r="H27" s="116"/>
      <c r="I27" s="115">
        <f t="shared" si="2"/>
        <v>0</v>
      </c>
      <c r="J27" s="115">
        <f>IF($B27&lt;&gt;0,(E27/$B27*100),(IF(E27&lt;&gt;0,1,0)))</f>
        <v>0</v>
      </c>
      <c r="K27" s="115">
        <f t="shared" si="5"/>
        <v>0</v>
      </c>
      <c r="L27" s="115">
        <f t="shared" si="5"/>
        <v>0</v>
      </c>
    </row>
    <row r="28" spans="2:12" ht="12.75">
      <c r="B28" s="113"/>
      <c r="C28" s="240"/>
      <c r="D28" s="229"/>
      <c r="E28" s="229"/>
      <c r="F28" s="229"/>
      <c r="G28" s="229"/>
      <c r="H28" s="116"/>
      <c r="I28" s="115"/>
      <c r="J28" s="115"/>
      <c r="K28" s="115"/>
      <c r="L28" s="115"/>
    </row>
    <row r="29" spans="1:12" ht="12.75">
      <c r="A29" s="112" t="s">
        <v>16</v>
      </c>
      <c r="B29" s="113">
        <f t="shared" si="1"/>
        <v>190322237</v>
      </c>
      <c r="C29" s="240">
        <v>189267165</v>
      </c>
      <c r="D29" s="236">
        <v>1055072</v>
      </c>
      <c r="E29" s="229">
        <v>0</v>
      </c>
      <c r="F29" s="229">
        <v>0</v>
      </c>
      <c r="G29" s="229">
        <v>0</v>
      </c>
      <c r="H29" s="116"/>
      <c r="I29" s="115">
        <f t="shared" si="2"/>
        <v>100</v>
      </c>
      <c r="J29" s="115">
        <f>IF($B29&lt;&gt;0,(E29/$B29*100),(IF(E29&lt;&gt;0,1,0)))</f>
        <v>0</v>
      </c>
      <c r="K29" s="115">
        <f aca="true" t="shared" si="6" ref="K29:L33">IF($B29&lt;&gt;0,(F29/$B29*100),(IF(F29&lt;&gt;0,1,0)))</f>
        <v>0</v>
      </c>
      <c r="L29" s="115">
        <f t="shared" si="6"/>
        <v>0</v>
      </c>
    </row>
    <row r="30" spans="1:12" ht="12.75">
      <c r="A30" s="112" t="s">
        <v>17</v>
      </c>
      <c r="B30" s="113">
        <f t="shared" si="1"/>
        <v>52480384</v>
      </c>
      <c r="C30" s="240">
        <v>52480384</v>
      </c>
      <c r="D30" s="229">
        <v>0</v>
      </c>
      <c r="E30" s="229">
        <v>0</v>
      </c>
      <c r="F30" s="229">
        <v>0</v>
      </c>
      <c r="G30" s="229">
        <v>0</v>
      </c>
      <c r="H30" s="116"/>
      <c r="I30" s="115">
        <f t="shared" si="2"/>
        <v>100</v>
      </c>
      <c r="J30" s="115">
        <f>IF($B30&lt;&gt;0,(E30/$B30*100),(IF(E30&lt;&gt;0,1,0)))</f>
        <v>0</v>
      </c>
      <c r="K30" s="115">
        <f t="shared" si="6"/>
        <v>0</v>
      </c>
      <c r="L30" s="115">
        <f t="shared" si="6"/>
        <v>0</v>
      </c>
    </row>
    <row r="31" spans="1:12" ht="12.75">
      <c r="A31" s="112" t="s">
        <v>18</v>
      </c>
      <c r="B31" s="113">
        <f t="shared" si="1"/>
        <v>6149522</v>
      </c>
      <c r="C31" s="240">
        <v>6149522</v>
      </c>
      <c r="D31" s="229">
        <v>0</v>
      </c>
      <c r="E31" s="229">
        <v>0</v>
      </c>
      <c r="F31" s="229">
        <v>0</v>
      </c>
      <c r="G31" s="229">
        <v>0</v>
      </c>
      <c r="H31" s="116"/>
      <c r="I31" s="115">
        <f>IF(B31&lt;&gt;0,((+C31+D31)/B31*100),(IF(C31&lt;&gt;0,1,0)))</f>
        <v>100</v>
      </c>
      <c r="J31" s="115">
        <f>IF($B31&lt;&gt;0,(E31/$B31*100),(IF(E31&lt;&gt;0,1,0)))</f>
        <v>0</v>
      </c>
      <c r="K31" s="115">
        <f t="shared" si="6"/>
        <v>0</v>
      </c>
      <c r="L31" s="115">
        <f t="shared" si="6"/>
        <v>0</v>
      </c>
    </row>
    <row r="32" spans="1:12" ht="12.75">
      <c r="A32" s="112" t="s">
        <v>19</v>
      </c>
      <c r="B32" s="113">
        <f t="shared" si="1"/>
        <v>5593737</v>
      </c>
      <c r="C32" s="240">
        <v>5593737</v>
      </c>
      <c r="D32" s="229">
        <v>0</v>
      </c>
      <c r="E32" s="229">
        <v>0</v>
      </c>
      <c r="F32" s="229">
        <v>0</v>
      </c>
      <c r="G32" s="229">
        <v>0</v>
      </c>
      <c r="H32" s="116"/>
      <c r="I32" s="115">
        <f t="shared" si="2"/>
        <v>100</v>
      </c>
      <c r="J32" s="115">
        <f>IF($B32&lt;&gt;0,(E32/$B32*100),(IF(E32&lt;&gt;0,1,0)))</f>
        <v>0</v>
      </c>
      <c r="K32" s="115">
        <f t="shared" si="6"/>
        <v>0</v>
      </c>
      <c r="L32" s="115">
        <f t="shared" si="6"/>
        <v>0</v>
      </c>
    </row>
    <row r="33" spans="1:12" ht="12.75">
      <c r="A33" s="112" t="s">
        <v>20</v>
      </c>
      <c r="B33" s="113">
        <f t="shared" si="1"/>
        <v>3386126</v>
      </c>
      <c r="C33" s="240">
        <v>0</v>
      </c>
      <c r="D33" s="229">
        <v>0</v>
      </c>
      <c r="E33" s="229">
        <v>0</v>
      </c>
      <c r="F33" s="229">
        <v>0</v>
      </c>
      <c r="G33" s="229">
        <v>3386126</v>
      </c>
      <c r="H33" s="116"/>
      <c r="I33" s="115">
        <f t="shared" si="2"/>
        <v>0</v>
      </c>
      <c r="J33" s="115">
        <f>IF($B33&lt;&gt;0,(E33/$B33*100),(IF(E33&lt;&gt;0,1,0)))</f>
        <v>0</v>
      </c>
      <c r="K33" s="115">
        <f t="shared" si="6"/>
        <v>0</v>
      </c>
      <c r="L33" s="115">
        <f t="shared" si="6"/>
        <v>100</v>
      </c>
    </row>
    <row r="34" spans="2:12" ht="12.75">
      <c r="B34" s="113"/>
      <c r="C34" s="240"/>
      <c r="D34" s="229"/>
      <c r="E34" s="229"/>
      <c r="F34" s="229"/>
      <c r="G34" s="229"/>
      <c r="H34" s="116"/>
      <c r="I34" s="115"/>
      <c r="J34" s="115"/>
      <c r="K34" s="115"/>
      <c r="L34" s="115"/>
    </row>
    <row r="35" spans="1:12" ht="12.75">
      <c r="A35" s="112" t="s">
        <v>21</v>
      </c>
      <c r="B35" s="113">
        <f>SUM(C35:G35)</f>
        <v>3791072</v>
      </c>
      <c r="C35" s="240">
        <v>3791072</v>
      </c>
      <c r="D35" s="229">
        <v>0</v>
      </c>
      <c r="E35" s="229">
        <v>0</v>
      </c>
      <c r="F35" s="229">
        <v>0</v>
      </c>
      <c r="G35" s="229">
        <v>0</v>
      </c>
      <c r="H35" s="116"/>
      <c r="I35" s="115">
        <f t="shared" si="2"/>
        <v>100</v>
      </c>
      <c r="J35" s="115">
        <f>IF($B35&lt;&gt;0,(E35/$B35*100),(IF(E35&lt;&gt;0,1,0)))</f>
        <v>0</v>
      </c>
      <c r="K35" s="115">
        <f aca="true" t="shared" si="7" ref="K35:L38">IF($B35&lt;&gt;0,(F35/$B35*100),(IF(F35&lt;&gt;0,1,0)))</f>
        <v>0</v>
      </c>
      <c r="L35" s="115">
        <f t="shared" si="7"/>
        <v>0</v>
      </c>
    </row>
    <row r="36" spans="1:12" ht="12.75">
      <c r="A36" s="112" t="s">
        <v>22</v>
      </c>
      <c r="B36" s="113">
        <f>SUM(C36:G36)</f>
        <v>5637440</v>
      </c>
      <c r="C36" s="240">
        <v>5637440</v>
      </c>
      <c r="D36" s="229">
        <v>0</v>
      </c>
      <c r="E36" s="229">
        <v>0</v>
      </c>
      <c r="F36" s="229">
        <v>0</v>
      </c>
      <c r="G36" s="229">
        <v>0</v>
      </c>
      <c r="H36" s="116"/>
      <c r="I36" s="115">
        <f t="shared" si="2"/>
        <v>100</v>
      </c>
      <c r="J36" s="115">
        <f>IF($B36&lt;&gt;0,(E36/$B36*100),(IF(E36&lt;&gt;0,1,0)))</f>
        <v>0</v>
      </c>
      <c r="K36" s="115">
        <f t="shared" si="7"/>
        <v>0</v>
      </c>
      <c r="L36" s="115">
        <f t="shared" si="7"/>
        <v>0</v>
      </c>
    </row>
    <row r="37" spans="1:12" ht="12.75">
      <c r="A37" s="112" t="s">
        <v>23</v>
      </c>
      <c r="B37" s="116">
        <f>SUM(C37:G37)</f>
        <v>10081575</v>
      </c>
      <c r="C37" s="240">
        <v>0</v>
      </c>
      <c r="D37" s="229">
        <v>10081575</v>
      </c>
      <c r="E37" s="229">
        <v>0</v>
      </c>
      <c r="F37" s="229">
        <v>0</v>
      </c>
      <c r="G37" s="229">
        <v>0</v>
      </c>
      <c r="H37" s="116"/>
      <c r="I37" s="115">
        <f t="shared" si="2"/>
        <v>100</v>
      </c>
      <c r="J37" s="115">
        <f>IF($B37&lt;&gt;0,(E37/$B37*100),(IF(E37&lt;&gt;0,1,0)))</f>
        <v>0</v>
      </c>
      <c r="K37" s="115">
        <f t="shared" si="7"/>
        <v>0</v>
      </c>
      <c r="L37" s="115">
        <f t="shared" si="7"/>
        <v>0</v>
      </c>
    </row>
    <row r="38" spans="1:12" ht="12.75">
      <c r="A38" s="118" t="s">
        <v>24</v>
      </c>
      <c r="B38" s="119">
        <f>SUM(C38:G38)</f>
        <v>9189826</v>
      </c>
      <c r="C38" s="242">
        <v>9189826</v>
      </c>
      <c r="D38" s="230">
        <v>0</v>
      </c>
      <c r="E38" s="230">
        <v>0</v>
      </c>
      <c r="F38" s="230">
        <v>0</v>
      </c>
      <c r="G38" s="230">
        <v>0</v>
      </c>
      <c r="H38" s="119"/>
      <c r="I38" s="121">
        <f t="shared" si="2"/>
        <v>100</v>
      </c>
      <c r="J38" s="121">
        <f>IF($B38&lt;&gt;0,(E38/$B38*100),(IF(E38&lt;&gt;0,1,0)))</f>
        <v>0</v>
      </c>
      <c r="K38" s="121">
        <f t="shared" si="7"/>
        <v>0</v>
      </c>
      <c r="L38" s="121">
        <f t="shared" si="7"/>
        <v>0</v>
      </c>
    </row>
    <row r="39" spans="4:12" ht="12.75">
      <c r="D39" s="116"/>
      <c r="I39" s="167"/>
      <c r="J39" s="111"/>
      <c r="K39" s="111"/>
      <c r="L39" s="111"/>
    </row>
    <row r="40" spans="1:5" ht="12.75">
      <c r="A40" s="112" t="s">
        <v>217</v>
      </c>
      <c r="D40" s="116"/>
      <c r="E40" s="158"/>
    </row>
    <row r="41" spans="1:4" ht="12.75">
      <c r="A41" s="112" t="s">
        <v>218</v>
      </c>
      <c r="D41" s="116"/>
    </row>
    <row r="42" spans="1:4" ht="12.75">
      <c r="A42" s="164" t="s">
        <v>295</v>
      </c>
      <c r="D42" s="116"/>
    </row>
    <row r="43" ht="12.75">
      <c r="D43" s="116"/>
    </row>
  </sheetData>
  <sheetProtection password="CAF5" sheet="1" objects="1" scenarios="1"/>
  <mergeCells count="6">
    <mergeCell ref="C7:D7"/>
    <mergeCell ref="A1:K1"/>
    <mergeCell ref="A3:K3"/>
    <mergeCell ref="A4:K4"/>
    <mergeCell ref="C6:F6"/>
    <mergeCell ref="I6:L6"/>
  </mergeCells>
  <printOptions horizontalCentered="1"/>
  <pageMargins left="0.59" right="0.59" top="0.83" bottom="1" header="0.67" footer="0.5"/>
  <pageSetup fitToHeight="1" fitToWidth="1" horizontalDpi="600" verticalDpi="600" orientation="landscape" scale="90" r:id="rId1"/>
  <headerFooter alignWithMargins="0">
    <oddFooter>&amp;L&amp;"Arial,Italic"MSDE - LFRO    10  / 2011&amp;C- 5 -&amp;R&amp;"Arial,Italic"Selected Financial Data-Part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7"/>
  <sheetViews>
    <sheetView zoomScalePageLayoutView="0" workbookViewId="0" topLeftCell="A10">
      <selection activeCell="B16" sqref="B16"/>
    </sheetView>
  </sheetViews>
  <sheetFormatPr defaultColWidth="9.140625" defaultRowHeight="12.75"/>
  <cols>
    <col min="1" max="1" width="14.140625" style="57" customWidth="1"/>
    <col min="2" max="2" width="14.421875" style="57" customWidth="1"/>
    <col min="3" max="3" width="13.421875" style="57" bestFit="1" customWidth="1"/>
    <col min="4" max="4" width="12.28125" style="57" customWidth="1"/>
    <col min="5" max="5" width="14.421875" style="57" customWidth="1"/>
    <col min="6" max="6" width="12.28125" style="57" bestFit="1" customWidth="1"/>
    <col min="7" max="7" width="15.7109375" style="57" customWidth="1"/>
    <col min="8" max="8" width="13.28125" style="57" customWidth="1"/>
    <col min="9" max="9" width="12.421875" style="57" customWidth="1"/>
    <col min="10" max="10" width="0.85546875" style="57" customWidth="1"/>
    <col min="11" max="11" width="12.7109375" style="204" customWidth="1"/>
    <col min="12" max="12" width="1.1484375" style="57" customWidth="1"/>
    <col min="13" max="13" width="8.8515625" style="57" customWidth="1"/>
    <col min="14" max="14" width="7.8515625" style="57" customWidth="1"/>
    <col min="15" max="15" width="8.7109375" style="57" customWidth="1"/>
    <col min="16" max="16" width="8.421875" style="57" customWidth="1"/>
    <col min="18" max="18" width="11.28125" style="0" bestFit="1" customWidth="1"/>
  </cols>
  <sheetData>
    <row r="1" spans="1:16" ht="12.75">
      <c r="A1" s="415" t="s">
        <v>92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16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182"/>
      <c r="L2" s="88"/>
      <c r="M2" s="88"/>
      <c r="N2" s="88"/>
      <c r="O2" s="88"/>
      <c r="P2" s="88"/>
    </row>
    <row r="3" spans="1:16" ht="12.75">
      <c r="A3" s="410" t="s">
        <v>268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 ht="12.75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</row>
    <row r="5" spans="1:16" ht="13.5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182"/>
      <c r="L5" s="88"/>
      <c r="M5" s="183"/>
      <c r="N5" s="183"/>
      <c r="O5" s="183"/>
      <c r="P5" s="183"/>
    </row>
    <row r="6" spans="1:42" ht="15" customHeight="1" thickTop="1">
      <c r="A6" s="184"/>
      <c r="B6" s="185"/>
      <c r="C6" s="419" t="s">
        <v>83</v>
      </c>
      <c r="D6" s="419"/>
      <c r="E6" s="419"/>
      <c r="F6" s="419"/>
      <c r="G6" s="419"/>
      <c r="H6" s="419"/>
      <c r="I6" s="419"/>
      <c r="J6" s="419"/>
      <c r="K6" s="186"/>
      <c r="L6" s="184"/>
      <c r="M6" s="417"/>
      <c r="N6" s="417"/>
      <c r="O6" s="417"/>
      <c r="P6" s="417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16" ht="12.75">
      <c r="A7" s="68" t="s">
        <v>80</v>
      </c>
      <c r="B7" s="187" t="s">
        <v>43</v>
      </c>
      <c r="C7" s="414" t="s">
        <v>80</v>
      </c>
      <c r="D7" s="414"/>
      <c r="E7" s="414"/>
      <c r="F7" s="414"/>
      <c r="G7" s="187"/>
      <c r="H7" s="414" t="s">
        <v>51</v>
      </c>
      <c r="I7" s="414"/>
      <c r="J7" s="187"/>
      <c r="K7" s="188"/>
      <c r="L7" s="187"/>
      <c r="M7" s="418" t="s">
        <v>85</v>
      </c>
      <c r="N7" s="418"/>
      <c r="O7" s="418"/>
      <c r="P7" s="418"/>
    </row>
    <row r="8" spans="1:16" ht="12.75">
      <c r="A8" s="68" t="s">
        <v>33</v>
      </c>
      <c r="B8" s="187" t="s">
        <v>86</v>
      </c>
      <c r="C8" s="187" t="s">
        <v>93</v>
      </c>
      <c r="D8" s="187" t="s">
        <v>36</v>
      </c>
      <c r="E8" s="412" t="s">
        <v>193</v>
      </c>
      <c r="F8" s="187"/>
      <c r="G8" s="187"/>
      <c r="H8" s="187" t="s">
        <v>115</v>
      </c>
      <c r="I8" s="187" t="s">
        <v>148</v>
      </c>
      <c r="J8" s="187"/>
      <c r="K8" s="187" t="s">
        <v>82</v>
      </c>
      <c r="L8" s="187"/>
      <c r="M8" s="189"/>
      <c r="N8" s="189"/>
      <c r="O8" s="189"/>
      <c r="P8" s="189" t="s">
        <v>82</v>
      </c>
    </row>
    <row r="9" spans="1:16" ht="13.5" thickBot="1">
      <c r="A9" s="190" t="s">
        <v>137</v>
      </c>
      <c r="B9" s="75" t="s">
        <v>87</v>
      </c>
      <c r="C9" s="77" t="s">
        <v>94</v>
      </c>
      <c r="D9" s="77" t="s">
        <v>95</v>
      </c>
      <c r="E9" s="413"/>
      <c r="F9" s="77" t="s">
        <v>116</v>
      </c>
      <c r="G9" s="75" t="s">
        <v>44</v>
      </c>
      <c r="H9" s="75" t="s">
        <v>94</v>
      </c>
      <c r="I9" s="75" t="s">
        <v>76</v>
      </c>
      <c r="J9" s="75"/>
      <c r="K9" s="77" t="s">
        <v>212</v>
      </c>
      <c r="L9" s="77"/>
      <c r="M9" s="191" t="s">
        <v>80</v>
      </c>
      <c r="N9" s="191" t="s">
        <v>44</v>
      </c>
      <c r="O9" s="191" t="s">
        <v>51</v>
      </c>
      <c r="P9" s="191" t="s">
        <v>84</v>
      </c>
    </row>
    <row r="10" spans="1:18" ht="12.75">
      <c r="A10" s="68" t="s">
        <v>0</v>
      </c>
      <c r="B10" s="168">
        <f aca="true" t="shared" si="0" ref="B10:I10">SUM(B12:B39)</f>
        <v>308727553.31000006</v>
      </c>
      <c r="C10" s="168">
        <f t="shared" si="0"/>
        <v>104521447.9</v>
      </c>
      <c r="D10" s="168">
        <f t="shared" si="0"/>
        <v>10904996.489999998</v>
      </c>
      <c r="E10" s="168">
        <f t="shared" si="0"/>
        <v>120485.01999999999</v>
      </c>
      <c r="F10" s="168">
        <f t="shared" si="0"/>
        <v>3861265.7199999993</v>
      </c>
      <c r="G10" s="192">
        <f t="shared" si="0"/>
        <v>7319876.129999999</v>
      </c>
      <c r="H10" s="168">
        <f t="shared" si="0"/>
        <v>159326629.87</v>
      </c>
      <c r="I10" s="168">
        <f t="shared" si="0"/>
        <v>13044906.31</v>
      </c>
      <c r="J10" s="168"/>
      <c r="K10" s="193">
        <f>SUM(K12:K39)</f>
        <v>9627945.870000001</v>
      </c>
      <c r="L10" s="168"/>
      <c r="M10" s="194">
        <f>SUM(C10:F10)/B10</f>
        <v>0.38677530997727183</v>
      </c>
      <c r="N10" s="194">
        <f>+G10/B10</f>
        <v>0.023709824573545438</v>
      </c>
      <c r="O10" s="194">
        <f>(+H10+I10)/B10</f>
        <v>0.5583289678291785</v>
      </c>
      <c r="P10" s="194">
        <f>+K10/B10</f>
        <v>0.03118589762000404</v>
      </c>
      <c r="R10" s="62"/>
    </row>
    <row r="11" spans="1:18" ht="12.75">
      <c r="A11" s="68"/>
      <c r="B11" s="170"/>
      <c r="C11" s="76"/>
      <c r="D11" s="76"/>
      <c r="E11" s="76"/>
      <c r="F11" s="76"/>
      <c r="G11" s="80"/>
      <c r="H11" s="170"/>
      <c r="I11" s="81"/>
      <c r="J11" s="81"/>
      <c r="K11" s="195"/>
      <c r="L11" s="76"/>
      <c r="M11" s="196"/>
      <c r="N11" s="196"/>
      <c r="O11" s="196"/>
      <c r="P11" s="196"/>
      <c r="R11" s="46"/>
    </row>
    <row r="12" spans="1:18" ht="12.75">
      <c r="A12" s="88" t="s">
        <v>1</v>
      </c>
      <c r="B12" s="165">
        <f>SUM(C12:K12)</f>
        <v>5578231.4799999995</v>
      </c>
      <c r="C12" s="240">
        <v>1095693.47</v>
      </c>
      <c r="D12" s="240">
        <v>403396.6</v>
      </c>
      <c r="E12" s="240">
        <v>0</v>
      </c>
      <c r="F12" s="240">
        <v>0</v>
      </c>
      <c r="G12" s="248">
        <v>203885.46000000002</v>
      </c>
      <c r="H12" s="240">
        <f>fed3!I12+fed3!J12</f>
        <v>2539945.41</v>
      </c>
      <c r="I12" s="240">
        <v>232638.22</v>
      </c>
      <c r="J12" s="372"/>
      <c r="K12" s="373">
        <v>1102672.32</v>
      </c>
      <c r="L12" s="197"/>
      <c r="M12" s="196">
        <f>SUM(C12:F12)/B12*100</f>
        <v>26.873930839456666</v>
      </c>
      <c r="N12" s="196">
        <f>+G12/B12*100</f>
        <v>3.655019708862997</v>
      </c>
      <c r="O12" s="196">
        <f>(+H12+I12)/B12*100</f>
        <v>49.70363169654624</v>
      </c>
      <c r="P12" s="196">
        <f>+K12/B12*100</f>
        <v>19.767417755134108</v>
      </c>
      <c r="Q12" s="43"/>
      <c r="R12" s="61"/>
    </row>
    <row r="13" spans="1:18" ht="12.75">
      <c r="A13" s="88" t="s">
        <v>2</v>
      </c>
      <c r="B13" s="165">
        <f aca="true" t="shared" si="1" ref="B13:B39">SUM(C13:K13)</f>
        <v>20813659</v>
      </c>
      <c r="C13" s="240">
        <v>10370123</v>
      </c>
      <c r="D13" s="240">
        <v>137130</v>
      </c>
      <c r="E13" s="240">
        <v>9234</v>
      </c>
      <c r="F13" s="240">
        <v>509625</v>
      </c>
      <c r="G13" s="248">
        <v>450422</v>
      </c>
      <c r="H13" s="240">
        <f>fed3!I13+fed3!J13</f>
        <v>8287988</v>
      </c>
      <c r="I13" s="240">
        <v>1049137</v>
      </c>
      <c r="J13" s="372"/>
      <c r="K13" s="374">
        <v>0</v>
      </c>
      <c r="L13" s="198"/>
      <c r="M13" s="196">
        <f aca="true" t="shared" si="2" ref="M13:M39">SUM(C13:F13)/B13*100</f>
        <v>52.97536584028786</v>
      </c>
      <c r="N13" s="196">
        <f aca="true" t="shared" si="3" ref="N13:N39">+G13/B13*100</f>
        <v>2.1640692777757145</v>
      </c>
      <c r="O13" s="196">
        <f aca="true" t="shared" si="4" ref="O13:O39">(+H13+I13)/B13*100</f>
        <v>44.860564881936426</v>
      </c>
      <c r="P13" s="196">
        <f aca="true" t="shared" si="5" ref="P13:P39">+K13/B13*100</f>
        <v>0</v>
      </c>
      <c r="R13" s="61"/>
    </row>
    <row r="14" spans="1:18" ht="12.75">
      <c r="A14" s="88" t="s">
        <v>3</v>
      </c>
      <c r="B14" s="165">
        <f t="shared" si="1"/>
        <v>34332923.3</v>
      </c>
      <c r="C14" s="240">
        <v>0</v>
      </c>
      <c r="D14" s="240">
        <v>1261644.23</v>
      </c>
      <c r="E14" s="240">
        <v>0</v>
      </c>
      <c r="F14" s="239">
        <v>0</v>
      </c>
      <c r="G14" s="248">
        <v>814907.59</v>
      </c>
      <c r="H14" s="240">
        <f>fed3!I14+fed3!J14</f>
        <v>29585689.64</v>
      </c>
      <c r="I14" s="240">
        <v>0</v>
      </c>
      <c r="J14" s="372"/>
      <c r="K14" s="373">
        <v>2670681.84</v>
      </c>
      <c r="L14" s="198"/>
      <c r="M14" s="196">
        <f t="shared" si="2"/>
        <v>3.6747358183740793</v>
      </c>
      <c r="N14" s="196">
        <f t="shared" si="3"/>
        <v>2.373545599013994</v>
      </c>
      <c r="O14" s="196">
        <f t="shared" si="4"/>
        <v>86.17294071198418</v>
      </c>
      <c r="P14" s="196">
        <f t="shared" si="5"/>
        <v>7.778777870627754</v>
      </c>
      <c r="R14" s="61"/>
    </row>
    <row r="15" spans="1:18" ht="12.75">
      <c r="A15" s="88" t="s">
        <v>4</v>
      </c>
      <c r="B15" s="165">
        <f t="shared" si="1"/>
        <v>37164840.75</v>
      </c>
      <c r="C15" s="240">
        <v>13852536</v>
      </c>
      <c r="D15" s="240">
        <v>1427279</v>
      </c>
      <c r="E15" s="240">
        <v>2429</v>
      </c>
      <c r="F15" s="240">
        <v>31833</v>
      </c>
      <c r="G15" s="248">
        <v>830728</v>
      </c>
      <c r="H15" s="240">
        <f>fed3!I15+fed3!J15</f>
        <v>19141740.75</v>
      </c>
      <c r="I15" s="240">
        <v>1878295</v>
      </c>
      <c r="J15" s="372"/>
      <c r="K15" s="373">
        <v>0</v>
      </c>
      <c r="L15" s="198"/>
      <c r="M15" s="196">
        <f t="shared" si="2"/>
        <v>41.20581897017816</v>
      </c>
      <c r="N15" s="196">
        <f t="shared" si="3"/>
        <v>2.2352524139364163</v>
      </c>
      <c r="O15" s="196">
        <f t="shared" si="4"/>
        <v>56.55892861588543</v>
      </c>
      <c r="P15" s="196">
        <f t="shared" si="5"/>
        <v>0</v>
      </c>
      <c r="R15" s="61"/>
    </row>
    <row r="16" spans="1:18" ht="12.75">
      <c r="A16" s="88" t="s">
        <v>5</v>
      </c>
      <c r="B16" s="165">
        <f t="shared" si="1"/>
        <v>5235939.89</v>
      </c>
      <c r="C16" s="240">
        <v>1285874.2</v>
      </c>
      <c r="D16" s="240">
        <v>0</v>
      </c>
      <c r="E16" s="240">
        <v>2641.01</v>
      </c>
      <c r="F16" s="239">
        <v>2431570.24</v>
      </c>
      <c r="G16" s="248">
        <v>35100.55</v>
      </c>
      <c r="H16" s="240">
        <f>fed3!I16+fed3!J16</f>
        <v>1249132.89</v>
      </c>
      <c r="I16" s="240">
        <v>231621</v>
      </c>
      <c r="J16" s="372"/>
      <c r="K16" s="373">
        <v>0</v>
      </c>
      <c r="L16" s="198"/>
      <c r="M16" s="196">
        <f t="shared" si="2"/>
        <v>71.04904808217728</v>
      </c>
      <c r="N16" s="196">
        <f t="shared" si="3"/>
        <v>0.6703772529367216</v>
      </c>
      <c r="O16" s="196">
        <f t="shared" si="4"/>
        <v>28.280574664886004</v>
      </c>
      <c r="P16" s="196">
        <f t="shared" si="5"/>
        <v>0</v>
      </c>
      <c r="R16" s="61"/>
    </row>
    <row r="17" spans="1:18" ht="12.75">
      <c r="A17" s="88"/>
      <c r="B17" s="165"/>
      <c r="C17" s="240"/>
      <c r="D17" s="240"/>
      <c r="E17" s="240"/>
      <c r="F17" s="239"/>
      <c r="G17" s="248"/>
      <c r="H17" s="240"/>
      <c r="I17" s="240"/>
      <c r="J17" s="372"/>
      <c r="K17" s="373"/>
      <c r="L17" s="198"/>
      <c r="M17" s="196"/>
      <c r="N17" s="196"/>
      <c r="O17" s="196"/>
      <c r="P17" s="196"/>
      <c r="R17" s="41"/>
    </row>
    <row r="18" spans="1:18" ht="12.75">
      <c r="A18" s="88" t="s">
        <v>6</v>
      </c>
      <c r="B18" s="165">
        <f t="shared" si="1"/>
        <v>2294498.45</v>
      </c>
      <c r="C18" s="240">
        <v>798774.87</v>
      </c>
      <c r="D18" s="240">
        <v>0</v>
      </c>
      <c r="E18" s="240">
        <v>470.74</v>
      </c>
      <c r="F18" s="239">
        <v>15444.3</v>
      </c>
      <c r="G18" s="248">
        <v>45831.07</v>
      </c>
      <c r="H18" s="240">
        <f>fed3!I18+fed3!J18</f>
        <v>1433977.47</v>
      </c>
      <c r="I18" s="240">
        <v>0</v>
      </c>
      <c r="J18" s="372"/>
      <c r="K18" s="373">
        <v>0</v>
      </c>
      <c r="L18" s="198"/>
      <c r="M18" s="196">
        <f t="shared" si="2"/>
        <v>35.506230566422914</v>
      </c>
      <c r="N18" s="196">
        <f t="shared" si="3"/>
        <v>1.9974330337856623</v>
      </c>
      <c r="O18" s="196">
        <f t="shared" si="4"/>
        <v>62.49633639979142</v>
      </c>
      <c r="P18" s="196">
        <f t="shared" si="5"/>
        <v>0</v>
      </c>
      <c r="R18" s="61"/>
    </row>
    <row r="19" spans="1:18" ht="12.75">
      <c r="A19" s="88" t="s">
        <v>7</v>
      </c>
      <c r="B19" s="165">
        <f t="shared" si="1"/>
        <v>6469302.56</v>
      </c>
      <c r="C19" s="240">
        <v>3543839.54</v>
      </c>
      <c r="D19" s="240">
        <v>149504.9</v>
      </c>
      <c r="E19" s="240">
        <v>1209.22</v>
      </c>
      <c r="F19" s="375">
        <v>44616.23</v>
      </c>
      <c r="G19" s="248">
        <v>59150.3</v>
      </c>
      <c r="H19" s="240">
        <f>fed3!I19+fed3!J19</f>
        <v>1879906.98</v>
      </c>
      <c r="I19" s="240">
        <v>353101.56</v>
      </c>
      <c r="J19" s="372"/>
      <c r="K19" s="373">
        <v>437973.83</v>
      </c>
      <c r="L19" s="198"/>
      <c r="M19" s="196">
        <f t="shared" si="2"/>
        <v>57.79865534686015</v>
      </c>
      <c r="N19" s="196">
        <f t="shared" si="3"/>
        <v>0.9143226715925928</v>
      </c>
      <c r="O19" s="196">
        <f t="shared" si="4"/>
        <v>34.51699034462843</v>
      </c>
      <c r="P19" s="196">
        <f t="shared" si="5"/>
        <v>6.7700316369188345</v>
      </c>
      <c r="R19" s="61"/>
    </row>
    <row r="20" spans="1:18" ht="12.75">
      <c r="A20" s="88" t="s">
        <v>8</v>
      </c>
      <c r="B20" s="165">
        <f t="shared" si="1"/>
        <v>6107633.120000001</v>
      </c>
      <c r="C20" s="240">
        <v>2591934.49</v>
      </c>
      <c r="D20" s="240">
        <v>16261.97</v>
      </c>
      <c r="E20" s="240">
        <v>9733.82</v>
      </c>
      <c r="F20" s="239">
        <v>42880.42</v>
      </c>
      <c r="G20" s="248">
        <v>253811.47</v>
      </c>
      <c r="H20" s="240">
        <f>fed3!I20+fed3!J20</f>
        <v>2914465.62</v>
      </c>
      <c r="I20" s="240">
        <v>278545.33</v>
      </c>
      <c r="J20" s="372"/>
      <c r="K20" s="373">
        <v>0</v>
      </c>
      <c r="L20" s="198"/>
      <c r="M20" s="196">
        <f t="shared" si="2"/>
        <v>43.56533288299412</v>
      </c>
      <c r="N20" s="196">
        <f t="shared" si="3"/>
        <v>4.155643684111792</v>
      </c>
      <c r="O20" s="196">
        <f t="shared" si="4"/>
        <v>52.27902343289408</v>
      </c>
      <c r="P20" s="196">
        <f t="shared" si="5"/>
        <v>0</v>
      </c>
      <c r="R20" s="61"/>
    </row>
    <row r="21" spans="1:18" ht="12.75">
      <c r="A21" s="88" t="s">
        <v>9</v>
      </c>
      <c r="B21" s="165">
        <f t="shared" si="1"/>
        <v>10150102.11</v>
      </c>
      <c r="C21" s="240">
        <v>5229908.43</v>
      </c>
      <c r="D21" s="240">
        <v>324012.54</v>
      </c>
      <c r="E21" s="240">
        <v>4877.25</v>
      </c>
      <c r="F21" s="239">
        <v>171929.9</v>
      </c>
      <c r="G21" s="248">
        <v>176616.41</v>
      </c>
      <c r="H21" s="240">
        <f>fed3!I21+fed3!J21</f>
        <v>3718702.26</v>
      </c>
      <c r="I21" s="240">
        <v>524055.32</v>
      </c>
      <c r="J21" s="372"/>
      <c r="K21" s="376">
        <v>0</v>
      </c>
      <c r="L21" s="198"/>
      <c r="M21" s="196">
        <f t="shared" si="2"/>
        <v>56.459807575275725</v>
      </c>
      <c r="N21" s="196">
        <f t="shared" si="3"/>
        <v>1.7400456476787112</v>
      </c>
      <c r="O21" s="196">
        <f t="shared" si="4"/>
        <v>41.800146777045576</v>
      </c>
      <c r="P21" s="196">
        <f t="shared" si="5"/>
        <v>0</v>
      </c>
      <c r="R21" s="61"/>
    </row>
    <row r="22" spans="1:18" ht="12.75">
      <c r="A22" s="88" t="s">
        <v>10</v>
      </c>
      <c r="B22" s="165">
        <f t="shared" si="1"/>
        <v>2297455.24</v>
      </c>
      <c r="C22" s="240">
        <v>610490</v>
      </c>
      <c r="D22" s="240">
        <v>20070</v>
      </c>
      <c r="E22" s="240">
        <v>641</v>
      </c>
      <c r="F22" s="239">
        <v>0</v>
      </c>
      <c r="G22" s="248">
        <v>99193</v>
      </c>
      <c r="H22" s="240">
        <f>fed3!I22+fed3!J22</f>
        <v>1492509.24</v>
      </c>
      <c r="I22" s="240">
        <v>74552</v>
      </c>
      <c r="J22" s="372"/>
      <c r="K22" s="377">
        <v>0</v>
      </c>
      <c r="L22" s="198"/>
      <c r="M22" s="196">
        <f t="shared" si="2"/>
        <v>27.473919361319087</v>
      </c>
      <c r="N22" s="196">
        <f t="shared" si="3"/>
        <v>4.317516105340968</v>
      </c>
      <c r="O22" s="196">
        <f t="shared" si="4"/>
        <v>68.20856453333994</v>
      </c>
      <c r="P22" s="196">
        <f t="shared" si="5"/>
        <v>0</v>
      </c>
      <c r="R22" s="61"/>
    </row>
    <row r="23" spans="1:18" ht="12.75">
      <c r="A23" s="88"/>
      <c r="B23" s="165"/>
      <c r="C23" s="240"/>
      <c r="D23" s="240"/>
      <c r="E23" s="240"/>
      <c r="F23" s="239"/>
      <c r="G23" s="248"/>
      <c r="H23" s="240"/>
      <c r="I23" s="240"/>
      <c r="J23" s="372"/>
      <c r="K23" s="377"/>
      <c r="L23" s="198"/>
      <c r="M23" s="196"/>
      <c r="N23" s="196"/>
      <c r="O23" s="196"/>
      <c r="P23" s="196"/>
      <c r="R23" s="41"/>
    </row>
    <row r="24" spans="1:18" ht="12.75">
      <c r="A24" s="88" t="s">
        <v>11</v>
      </c>
      <c r="B24" s="165">
        <f t="shared" si="1"/>
        <v>11404067.13</v>
      </c>
      <c r="C24" s="240">
        <v>6347060.2</v>
      </c>
      <c r="D24" s="378">
        <v>0</v>
      </c>
      <c r="E24" s="240">
        <v>9.27</v>
      </c>
      <c r="F24" s="239">
        <v>177854.07</v>
      </c>
      <c r="G24" s="248">
        <v>234597.83</v>
      </c>
      <c r="H24" s="240">
        <f>fed3!I24+fed3!J24</f>
        <v>4055132.7</v>
      </c>
      <c r="I24" s="240">
        <v>589413.06</v>
      </c>
      <c r="J24" s="372"/>
      <c r="K24" s="377">
        <v>0</v>
      </c>
      <c r="L24" s="198"/>
      <c r="M24" s="196">
        <f t="shared" si="2"/>
        <v>57.21575877815794</v>
      </c>
      <c r="N24" s="196">
        <f t="shared" si="3"/>
        <v>2.0571417839417783</v>
      </c>
      <c r="O24" s="196">
        <f t="shared" si="4"/>
        <v>40.72709943790027</v>
      </c>
      <c r="P24" s="196">
        <f t="shared" si="5"/>
        <v>0</v>
      </c>
      <c r="R24" s="61"/>
    </row>
    <row r="25" spans="1:18" ht="12.75">
      <c r="A25" s="88" t="s">
        <v>12</v>
      </c>
      <c r="B25" s="165">
        <f t="shared" si="1"/>
        <v>2737136</v>
      </c>
      <c r="C25" s="240">
        <v>419136</v>
      </c>
      <c r="D25" s="240">
        <v>633451</v>
      </c>
      <c r="E25" s="240">
        <v>289</v>
      </c>
      <c r="F25" s="239">
        <v>0</v>
      </c>
      <c r="G25" s="248">
        <v>87221</v>
      </c>
      <c r="H25" s="240">
        <f>fed3!I25+fed3!J25</f>
        <v>1201027</v>
      </c>
      <c r="I25" s="240">
        <v>113069</v>
      </c>
      <c r="J25" s="372"/>
      <c r="K25" s="373">
        <v>282943</v>
      </c>
      <c r="L25" s="198"/>
      <c r="M25" s="196">
        <f t="shared" si="2"/>
        <v>38.46633853780009</v>
      </c>
      <c r="N25" s="196">
        <f t="shared" si="3"/>
        <v>3.186578964289681</v>
      </c>
      <c r="O25" s="196">
        <f t="shared" si="4"/>
        <v>48.00989063020617</v>
      </c>
      <c r="P25" s="196">
        <f t="shared" si="5"/>
        <v>10.337191867704053</v>
      </c>
      <c r="R25" s="61"/>
    </row>
    <row r="26" spans="1:18" ht="12.75">
      <c r="A26" s="88" t="s">
        <v>13</v>
      </c>
      <c r="B26" s="165">
        <f t="shared" si="1"/>
        <v>14515755</v>
      </c>
      <c r="C26" s="240">
        <v>7838875</v>
      </c>
      <c r="D26" s="240">
        <v>0</v>
      </c>
      <c r="E26" s="240">
        <v>198</v>
      </c>
      <c r="F26" s="239">
        <v>0</v>
      </c>
      <c r="G26" s="248">
        <v>277745</v>
      </c>
      <c r="H26" s="240">
        <f>fed3!I26+fed3!J26</f>
        <v>5396506</v>
      </c>
      <c r="I26" s="240">
        <v>852431</v>
      </c>
      <c r="J26" s="372"/>
      <c r="K26" s="373">
        <v>150000</v>
      </c>
      <c r="L26" s="198"/>
      <c r="M26" s="196">
        <f t="shared" si="2"/>
        <v>54.00389438923432</v>
      </c>
      <c r="N26" s="196">
        <f t="shared" si="3"/>
        <v>1.9134037464809788</v>
      </c>
      <c r="O26" s="196">
        <f t="shared" si="4"/>
        <v>43.04934190470974</v>
      </c>
      <c r="P26" s="196">
        <f t="shared" si="5"/>
        <v>1.0333599595749583</v>
      </c>
      <c r="R26" s="61"/>
    </row>
    <row r="27" spans="1:18" ht="12.75">
      <c r="A27" s="88" t="s">
        <v>14</v>
      </c>
      <c r="B27" s="165">
        <f t="shared" si="1"/>
        <v>11797281</v>
      </c>
      <c r="C27" s="240">
        <v>7461698</v>
      </c>
      <c r="D27" s="240">
        <v>0</v>
      </c>
      <c r="E27" s="240">
        <v>8675</v>
      </c>
      <c r="F27" s="239">
        <v>0</v>
      </c>
      <c r="G27" s="248">
        <v>103288</v>
      </c>
      <c r="H27" s="240">
        <f>fed3!I27+fed3!J27</f>
        <v>3549468</v>
      </c>
      <c r="I27" s="240">
        <v>674152</v>
      </c>
      <c r="J27" s="372"/>
      <c r="K27" s="373">
        <v>0</v>
      </c>
      <c r="L27" s="198"/>
      <c r="M27" s="196">
        <f t="shared" si="2"/>
        <v>63.32283684689718</v>
      </c>
      <c r="N27" s="196">
        <f t="shared" si="3"/>
        <v>0.8755237753512864</v>
      </c>
      <c r="O27" s="196">
        <f t="shared" si="4"/>
        <v>35.801639377751535</v>
      </c>
      <c r="P27" s="196">
        <f t="shared" si="5"/>
        <v>0</v>
      </c>
      <c r="R27" s="61"/>
    </row>
    <row r="28" spans="1:18" ht="12.75">
      <c r="A28" s="88" t="s">
        <v>15</v>
      </c>
      <c r="B28" s="165">
        <f t="shared" si="1"/>
        <v>1345938.0000000002</v>
      </c>
      <c r="C28" s="240">
        <v>381780</v>
      </c>
      <c r="D28" s="240">
        <v>45369</v>
      </c>
      <c r="E28" s="240">
        <v>0</v>
      </c>
      <c r="F28" s="240">
        <v>0</v>
      </c>
      <c r="G28" s="248">
        <v>65088</v>
      </c>
      <c r="H28" s="240">
        <f>fed3!I28+fed3!J28</f>
        <v>795804.91</v>
      </c>
      <c r="I28" s="240">
        <v>57896.09</v>
      </c>
      <c r="J28" s="372"/>
      <c r="K28" s="373">
        <v>0</v>
      </c>
      <c r="L28" s="198"/>
      <c r="M28" s="196">
        <f t="shared" si="2"/>
        <v>31.736157237554767</v>
      </c>
      <c r="N28" s="196">
        <f t="shared" si="3"/>
        <v>4.835883970881273</v>
      </c>
      <c r="O28" s="196">
        <f t="shared" si="4"/>
        <v>63.427958791563945</v>
      </c>
      <c r="P28" s="196">
        <f t="shared" si="5"/>
        <v>0</v>
      </c>
      <c r="R28" s="61"/>
    </row>
    <row r="29" spans="1:18" ht="12.75">
      <c r="A29" s="88"/>
      <c r="B29" s="165"/>
      <c r="C29" s="240"/>
      <c r="D29" s="240"/>
      <c r="E29" s="240"/>
      <c r="F29" s="239"/>
      <c r="G29" s="248"/>
      <c r="H29" s="240"/>
      <c r="I29" s="240"/>
      <c r="J29" s="372"/>
      <c r="K29" s="373"/>
      <c r="L29" s="198"/>
      <c r="M29" s="196"/>
      <c r="N29" s="196"/>
      <c r="O29" s="196"/>
      <c r="P29" s="196"/>
      <c r="R29" s="41"/>
    </row>
    <row r="30" spans="1:18" ht="12.75">
      <c r="A30" s="88" t="s">
        <v>16</v>
      </c>
      <c r="B30" s="165">
        <f t="shared" si="1"/>
        <v>43635190</v>
      </c>
      <c r="C30" s="240">
        <v>18621337</v>
      </c>
      <c r="D30" s="240">
        <v>0</v>
      </c>
      <c r="E30" s="240">
        <v>70501</v>
      </c>
      <c r="F30" s="239">
        <v>0</v>
      </c>
      <c r="G30" s="248">
        <v>1004518</v>
      </c>
      <c r="H30" s="240">
        <f>fed3!I30+fed3!J30</f>
        <v>21512451</v>
      </c>
      <c r="I30" s="240">
        <v>2426383</v>
      </c>
      <c r="J30" s="372"/>
      <c r="K30" s="373">
        <v>0</v>
      </c>
      <c r="L30" s="198"/>
      <c r="M30" s="196">
        <f t="shared" si="2"/>
        <v>42.836614209769685</v>
      </c>
      <c r="N30" s="196">
        <f t="shared" si="3"/>
        <v>2.302082333089417</v>
      </c>
      <c r="O30" s="196">
        <f t="shared" si="4"/>
        <v>54.8613034571409</v>
      </c>
      <c r="P30" s="196">
        <f t="shared" si="5"/>
        <v>0</v>
      </c>
      <c r="R30" s="61"/>
    </row>
    <row r="31" spans="1:18" ht="12.75">
      <c r="A31" s="88" t="s">
        <v>17</v>
      </c>
      <c r="B31" s="165">
        <f t="shared" si="1"/>
        <v>61052560.3</v>
      </c>
      <c r="C31" s="240">
        <v>15934195</v>
      </c>
      <c r="D31" s="240">
        <v>2485895</v>
      </c>
      <c r="E31" s="240">
        <v>0</v>
      </c>
      <c r="F31" s="240">
        <v>0</v>
      </c>
      <c r="G31" s="248">
        <v>1375695</v>
      </c>
      <c r="H31" s="240">
        <f>fed3!I31+fed3!J31</f>
        <v>34580461.3</v>
      </c>
      <c r="I31" s="240">
        <v>2496094</v>
      </c>
      <c r="J31" s="372"/>
      <c r="K31" s="373">
        <v>4180220</v>
      </c>
      <c r="L31" s="198"/>
      <c r="M31" s="196">
        <f t="shared" si="2"/>
        <v>30.170872293458924</v>
      </c>
      <c r="N31" s="196">
        <f t="shared" si="3"/>
        <v>2.2532961652060317</v>
      </c>
      <c r="O31" s="196">
        <f t="shared" si="4"/>
        <v>60.728911478590355</v>
      </c>
      <c r="P31" s="196">
        <f t="shared" si="5"/>
        <v>6.846920062744691</v>
      </c>
      <c r="R31" s="61"/>
    </row>
    <row r="32" spans="1:18" ht="12.75">
      <c r="A32" s="88" t="s">
        <v>18</v>
      </c>
      <c r="B32" s="165">
        <f t="shared" si="1"/>
        <v>2358255.4699999997</v>
      </c>
      <c r="C32" s="240">
        <v>778749.61</v>
      </c>
      <c r="D32" s="240">
        <v>612715.62</v>
      </c>
      <c r="E32" s="240">
        <v>619.23</v>
      </c>
      <c r="F32" s="239">
        <v>135789.82</v>
      </c>
      <c r="G32" s="248">
        <v>64651.63</v>
      </c>
      <c r="H32" s="240">
        <f>fed3!I32+fed3!J32</f>
        <v>765729.56</v>
      </c>
      <c r="I32" s="240">
        <v>0</v>
      </c>
      <c r="J32" s="372"/>
      <c r="K32" s="373">
        <v>0</v>
      </c>
      <c r="L32" s="198"/>
      <c r="M32" s="196">
        <f t="shared" si="2"/>
        <v>64.78832761914468</v>
      </c>
      <c r="N32" s="196">
        <f t="shared" si="3"/>
        <v>2.7415023869318116</v>
      </c>
      <c r="O32" s="196">
        <f t="shared" si="4"/>
        <v>32.47016999392352</v>
      </c>
      <c r="P32" s="196">
        <f t="shared" si="5"/>
        <v>0</v>
      </c>
      <c r="R32" s="61"/>
    </row>
    <row r="33" spans="1:18" ht="12.75">
      <c r="A33" s="88" t="s">
        <v>19</v>
      </c>
      <c r="B33" s="165">
        <f t="shared" si="1"/>
        <v>6531039.87</v>
      </c>
      <c r="C33" s="240">
        <v>2224313.04</v>
      </c>
      <c r="D33" s="240">
        <v>1230496.16</v>
      </c>
      <c r="E33" s="240">
        <v>925.8</v>
      </c>
      <c r="F33" s="239">
        <v>0</v>
      </c>
      <c r="G33" s="248">
        <v>217260.93</v>
      </c>
      <c r="H33" s="240">
        <f>fed3!I33+fed3!J33</f>
        <v>2479473.63</v>
      </c>
      <c r="I33" s="240">
        <v>344276</v>
      </c>
      <c r="J33" s="372"/>
      <c r="K33" s="373">
        <v>34294.31</v>
      </c>
      <c r="L33" s="198"/>
      <c r="M33" s="196">
        <f t="shared" si="2"/>
        <v>52.912477473514485</v>
      </c>
      <c r="N33" s="196">
        <f t="shared" si="3"/>
        <v>3.326590165189115</v>
      </c>
      <c r="O33" s="196">
        <f t="shared" si="4"/>
        <v>43.2358351228378</v>
      </c>
      <c r="P33" s="196">
        <f t="shared" si="5"/>
        <v>0.5250972384585978</v>
      </c>
      <c r="R33" s="61"/>
    </row>
    <row r="34" spans="1:18" ht="12.75">
      <c r="A34" s="88" t="s">
        <v>20</v>
      </c>
      <c r="B34" s="165">
        <f t="shared" si="1"/>
        <v>1414055.11</v>
      </c>
      <c r="C34" s="240">
        <v>263592.7</v>
      </c>
      <c r="D34" s="240">
        <v>0</v>
      </c>
      <c r="E34" s="240">
        <v>669.01</v>
      </c>
      <c r="F34" s="240">
        <v>0</v>
      </c>
      <c r="G34" s="248">
        <v>104463.75</v>
      </c>
      <c r="H34" s="240">
        <f>fed3!I34+fed3!J34</f>
        <v>1007647.65</v>
      </c>
      <c r="I34" s="240">
        <v>37682</v>
      </c>
      <c r="J34" s="372"/>
      <c r="K34" s="373">
        <v>0</v>
      </c>
      <c r="L34" s="198"/>
      <c r="M34" s="196">
        <f t="shared" si="2"/>
        <v>18.688218594252668</v>
      </c>
      <c r="N34" s="196">
        <f t="shared" si="3"/>
        <v>7.387530320512048</v>
      </c>
      <c r="O34" s="196">
        <f t="shared" si="4"/>
        <v>73.92425108523528</v>
      </c>
      <c r="P34" s="196">
        <f t="shared" si="5"/>
        <v>0</v>
      </c>
      <c r="R34" s="61"/>
    </row>
    <row r="35" spans="1:20" ht="12.75">
      <c r="A35" s="88"/>
      <c r="B35" s="165"/>
      <c r="C35" s="240"/>
      <c r="D35" s="240"/>
      <c r="E35" s="240"/>
      <c r="F35" s="239"/>
      <c r="G35" s="248"/>
      <c r="H35" s="240"/>
      <c r="I35" s="240"/>
      <c r="J35" s="372"/>
      <c r="K35" s="373"/>
      <c r="L35" s="198"/>
      <c r="M35" s="196"/>
      <c r="N35" s="196"/>
      <c r="O35" s="196"/>
      <c r="P35" s="196"/>
      <c r="R35" s="41"/>
      <c r="S35" s="3"/>
      <c r="T35" s="3"/>
    </row>
    <row r="36" spans="1:20" ht="12.75">
      <c r="A36" s="88" t="s">
        <v>21</v>
      </c>
      <c r="B36" s="165">
        <f t="shared" si="1"/>
        <v>1687120.1199999999</v>
      </c>
      <c r="C36" s="240">
        <v>398762.1</v>
      </c>
      <c r="D36" s="240">
        <v>392232.41</v>
      </c>
      <c r="E36" s="240">
        <v>5582.76</v>
      </c>
      <c r="F36" s="239">
        <v>283.93</v>
      </c>
      <c r="G36" s="248">
        <v>77304.76</v>
      </c>
      <c r="H36" s="240">
        <f>fed3!I36+fed3!J36</f>
        <v>752892.73</v>
      </c>
      <c r="I36" s="240">
        <v>60061.43</v>
      </c>
      <c r="J36" s="372"/>
      <c r="K36" s="373">
        <v>0</v>
      </c>
      <c r="L36" s="198"/>
      <c r="M36" s="196">
        <f t="shared" si="2"/>
        <v>47.23203704072951</v>
      </c>
      <c r="N36" s="196">
        <f t="shared" si="3"/>
        <v>4.582054299725854</v>
      </c>
      <c r="O36" s="196">
        <f t="shared" si="4"/>
        <v>48.18590865954465</v>
      </c>
      <c r="P36" s="196">
        <f t="shared" si="5"/>
        <v>0</v>
      </c>
      <c r="R36" s="61"/>
      <c r="S36" s="3"/>
      <c r="T36" s="3"/>
    </row>
    <row r="37" spans="1:20" ht="12.75">
      <c r="A37" s="88" t="s">
        <v>22</v>
      </c>
      <c r="B37" s="165">
        <f t="shared" si="1"/>
        <v>10449691.809999999</v>
      </c>
      <c r="C37" s="240">
        <v>3364649.36</v>
      </c>
      <c r="D37" s="240">
        <v>459571.67</v>
      </c>
      <c r="E37" s="240">
        <v>31.71</v>
      </c>
      <c r="F37" s="239">
        <v>98237.28</v>
      </c>
      <c r="G37" s="248">
        <v>499943.63</v>
      </c>
      <c r="H37" s="240">
        <f>fed3!I37+fed3!J37</f>
        <v>5472287.59</v>
      </c>
      <c r="I37" s="240">
        <v>535810</v>
      </c>
      <c r="J37" s="372"/>
      <c r="K37" s="373">
        <v>19160.57</v>
      </c>
      <c r="L37" s="198"/>
      <c r="M37" s="196">
        <f t="shared" si="2"/>
        <v>37.53689669820033</v>
      </c>
      <c r="N37" s="196">
        <f t="shared" si="3"/>
        <v>4.784290667037386</v>
      </c>
      <c r="O37" s="196">
        <f t="shared" si="4"/>
        <v>57.49545249028737</v>
      </c>
      <c r="P37" s="196">
        <f t="shared" si="5"/>
        <v>0.18336014447492113</v>
      </c>
      <c r="R37" s="61"/>
      <c r="S37" s="3"/>
      <c r="T37" s="3"/>
    </row>
    <row r="38" spans="1:20" ht="12.75">
      <c r="A38" s="88" t="s">
        <v>23</v>
      </c>
      <c r="B38" s="165">
        <f t="shared" si="1"/>
        <v>6913031.94</v>
      </c>
      <c r="C38" s="240">
        <v>656452.55</v>
      </c>
      <c r="D38" s="240">
        <v>960687.02</v>
      </c>
      <c r="E38" s="240">
        <v>0</v>
      </c>
      <c r="F38" s="239">
        <v>84064.4</v>
      </c>
      <c r="G38" s="248">
        <v>201889.40000000002</v>
      </c>
      <c r="H38" s="240">
        <f>fed3!I38+fed3!J38</f>
        <v>4024245.27</v>
      </c>
      <c r="I38" s="240">
        <v>235693.3</v>
      </c>
      <c r="J38" s="372"/>
      <c r="K38" s="373">
        <v>750000</v>
      </c>
      <c r="L38" s="198"/>
      <c r="M38" s="196">
        <f t="shared" si="2"/>
        <v>24.608651960025515</v>
      </c>
      <c r="N38" s="196">
        <f t="shared" si="3"/>
        <v>2.9204175787447615</v>
      </c>
      <c r="O38" s="196">
        <f t="shared" si="4"/>
        <v>61.62185574973634</v>
      </c>
      <c r="P38" s="196">
        <f t="shared" si="5"/>
        <v>10.849074711493376</v>
      </c>
      <c r="R38" s="61"/>
      <c r="S38" s="3"/>
      <c r="T38" s="3"/>
    </row>
    <row r="39" spans="1:20" ht="12.75">
      <c r="A39" s="200" t="s">
        <v>24</v>
      </c>
      <c r="B39" s="166">
        <f t="shared" si="1"/>
        <v>2441845.66</v>
      </c>
      <c r="C39" s="242">
        <v>451673.34</v>
      </c>
      <c r="D39" s="242">
        <v>345279.37</v>
      </c>
      <c r="E39" s="242">
        <v>1748.2</v>
      </c>
      <c r="F39" s="242">
        <v>117137.13</v>
      </c>
      <c r="G39" s="230">
        <v>36563.35</v>
      </c>
      <c r="H39" s="242">
        <f>fed3!I39+fed3!J39</f>
        <v>1489444.27</v>
      </c>
      <c r="I39" s="242">
        <v>0</v>
      </c>
      <c r="J39" s="379"/>
      <c r="K39" s="380">
        <v>0</v>
      </c>
      <c r="L39" s="201"/>
      <c r="M39" s="202">
        <f t="shared" si="2"/>
        <v>37.5059757052786</v>
      </c>
      <c r="N39" s="202">
        <f t="shared" si="3"/>
        <v>1.497365316692456</v>
      </c>
      <c r="O39" s="202">
        <f t="shared" si="4"/>
        <v>60.99665897802894</v>
      </c>
      <c r="P39" s="202">
        <f t="shared" si="5"/>
        <v>0</v>
      </c>
      <c r="R39" s="61"/>
      <c r="S39" s="3"/>
      <c r="T39" s="3"/>
    </row>
    <row r="40" spans="1:20" ht="12.75">
      <c r="A40" s="68"/>
      <c r="B40" s="88"/>
      <c r="C40" s="88"/>
      <c r="D40" s="88"/>
      <c r="E40" s="88"/>
      <c r="F40" s="88"/>
      <c r="G40" s="88"/>
      <c r="H40" s="88"/>
      <c r="I40" s="88"/>
      <c r="J40" s="198"/>
      <c r="K40" s="182"/>
      <c r="L40" s="88"/>
      <c r="M40" s="183"/>
      <c r="N40" s="196"/>
      <c r="O40" s="196"/>
      <c r="P40" s="196"/>
      <c r="R40" s="3"/>
      <c r="S40" s="3"/>
      <c r="T40" s="3"/>
    </row>
    <row r="41" spans="1:256" s="57" customFormat="1" ht="12.75">
      <c r="A41" s="222"/>
      <c r="B41" s="222"/>
      <c r="C41" s="222"/>
      <c r="D41" s="222"/>
      <c r="E41" s="222"/>
      <c r="F41" s="222"/>
      <c r="G41" s="222"/>
      <c r="H41" s="222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</row>
    <row r="42" spans="1:256" ht="12.75">
      <c r="A42" s="203" t="s">
        <v>210</v>
      </c>
      <c r="B42" s="203"/>
      <c r="C42" s="203"/>
      <c r="D42" s="203"/>
      <c r="E42" s="203"/>
      <c r="F42" s="203"/>
      <c r="G42" s="203"/>
      <c r="H42" s="161"/>
      <c r="I42" s="203"/>
      <c r="J42" s="203"/>
      <c r="K42" s="203"/>
      <c r="L42" s="203"/>
      <c r="M42" s="203"/>
      <c r="N42" s="203"/>
      <c r="O42" s="203"/>
      <c r="P42" s="203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9:16" ht="12.75">
      <c r="I43" s="172"/>
      <c r="J43" s="172"/>
      <c r="M43" s="205"/>
      <c r="N43" s="205"/>
      <c r="O43" s="205"/>
      <c r="P43" s="205"/>
    </row>
    <row r="44" spans="9:16" ht="12.75">
      <c r="I44" s="172"/>
      <c r="J44" s="172"/>
      <c r="M44" s="205"/>
      <c r="N44" s="205"/>
      <c r="O44" s="205"/>
      <c r="P44" s="205"/>
    </row>
    <row r="45" spans="13:16" ht="12.75">
      <c r="M45" s="205"/>
      <c r="N45" s="205"/>
      <c r="O45" s="205"/>
      <c r="P45" s="205"/>
    </row>
    <row r="46" spans="13:16" ht="12.75">
      <c r="M46" s="205"/>
      <c r="N46" s="205"/>
      <c r="O46" s="205"/>
      <c r="P46" s="205"/>
    </row>
    <row r="47" spans="13:16" ht="12.75">
      <c r="M47" s="205"/>
      <c r="N47" s="205"/>
      <c r="O47" s="205"/>
      <c r="P47" s="205"/>
    </row>
    <row r="48" spans="13:16" ht="12.75">
      <c r="M48" s="205"/>
      <c r="N48" s="205"/>
      <c r="O48" s="205"/>
      <c r="P48" s="205"/>
    </row>
    <row r="49" spans="13:16" ht="12.75">
      <c r="M49" s="205"/>
      <c r="N49" s="205"/>
      <c r="O49" s="205"/>
      <c r="P49" s="205"/>
    </row>
    <row r="50" spans="13:16" ht="12.75">
      <c r="M50" s="205"/>
      <c r="N50" s="205"/>
      <c r="O50" s="205"/>
      <c r="P50" s="205"/>
    </row>
    <row r="51" spans="13:16" ht="12.75">
      <c r="M51" s="205"/>
      <c r="N51" s="205"/>
      <c r="O51" s="205"/>
      <c r="P51" s="205"/>
    </row>
    <row r="52" spans="13:16" ht="12.75">
      <c r="M52" s="205"/>
      <c r="N52" s="205"/>
      <c r="O52" s="205"/>
      <c r="P52" s="205"/>
    </row>
    <row r="53" spans="13:16" ht="12.75">
      <c r="M53" s="205"/>
      <c r="N53" s="205"/>
      <c r="O53" s="205"/>
      <c r="P53" s="205"/>
    </row>
    <row r="54" spans="13:16" ht="12.75">
      <c r="M54" s="205"/>
      <c r="N54" s="205"/>
      <c r="O54" s="205"/>
      <c r="P54" s="205"/>
    </row>
    <row r="55" spans="13:16" ht="12.75">
      <c r="M55" s="205"/>
      <c r="N55" s="205"/>
      <c r="O55" s="205"/>
      <c r="P55" s="205"/>
    </row>
    <row r="56" spans="13:16" ht="12.75">
      <c r="M56" s="205"/>
      <c r="N56" s="205"/>
      <c r="O56" s="205"/>
      <c r="P56" s="205"/>
    </row>
    <row r="57" spans="13:16" ht="12.75">
      <c r="M57" s="205"/>
      <c r="N57" s="205"/>
      <c r="O57" s="205"/>
      <c r="P57" s="205"/>
    </row>
    <row r="58" spans="13:16" ht="12.75">
      <c r="M58" s="205"/>
      <c r="N58" s="205"/>
      <c r="O58" s="205"/>
      <c r="P58" s="205"/>
    </row>
    <row r="59" spans="13:16" ht="12.75">
      <c r="M59" s="205"/>
      <c r="N59" s="205"/>
      <c r="O59" s="205"/>
      <c r="P59" s="205"/>
    </row>
    <row r="60" spans="13:16" ht="12.75">
      <c r="M60" s="205"/>
      <c r="N60" s="205"/>
      <c r="O60" s="205"/>
      <c r="P60" s="205"/>
    </row>
    <row r="61" spans="13:16" ht="12.75">
      <c r="M61" s="205"/>
      <c r="N61" s="205"/>
      <c r="O61" s="205"/>
      <c r="P61" s="205"/>
    </row>
    <row r="62" spans="13:16" ht="12.75">
      <c r="M62" s="205"/>
      <c r="N62" s="205"/>
      <c r="O62" s="205"/>
      <c r="P62" s="205"/>
    </row>
    <row r="63" spans="13:16" ht="12.75">
      <c r="M63" s="205"/>
      <c r="N63" s="205"/>
      <c r="O63" s="205"/>
      <c r="P63" s="205"/>
    </row>
    <row r="64" spans="13:16" ht="12.75">
      <c r="M64" s="205"/>
      <c r="N64" s="205"/>
      <c r="O64" s="205"/>
      <c r="P64" s="205"/>
    </row>
    <row r="65" spans="13:16" ht="12.75">
      <c r="M65" s="205"/>
      <c r="N65" s="205"/>
      <c r="O65" s="205"/>
      <c r="P65" s="205"/>
    </row>
    <row r="66" spans="13:16" ht="12.75">
      <c r="M66" s="205"/>
      <c r="N66" s="205"/>
      <c r="O66" s="205"/>
      <c r="P66" s="205"/>
    </row>
    <row r="67" spans="13:16" ht="12.75">
      <c r="M67" s="205"/>
      <c r="N67" s="205"/>
      <c r="O67" s="205"/>
      <c r="P67" s="205"/>
    </row>
    <row r="68" spans="13:16" ht="12.75">
      <c r="M68" s="205"/>
      <c r="N68" s="205"/>
      <c r="O68" s="205"/>
      <c r="P68" s="205"/>
    </row>
    <row r="69" spans="13:16" ht="12.75">
      <c r="M69" s="205"/>
      <c r="N69" s="205"/>
      <c r="O69" s="205"/>
      <c r="P69" s="205"/>
    </row>
    <row r="70" spans="13:16" ht="12.75">
      <c r="M70" s="205"/>
      <c r="N70" s="205"/>
      <c r="O70" s="205"/>
      <c r="P70" s="205"/>
    </row>
    <row r="71" spans="13:16" ht="12.75">
      <c r="M71" s="205"/>
      <c r="N71" s="205"/>
      <c r="O71" s="205"/>
      <c r="P71" s="205"/>
    </row>
    <row r="72" spans="13:16" ht="12.75">
      <c r="M72" s="205"/>
      <c r="N72" s="205"/>
      <c r="O72" s="205"/>
      <c r="P72" s="205"/>
    </row>
    <row r="73" spans="13:16" ht="12.75">
      <c r="M73" s="205"/>
      <c r="N73" s="205"/>
      <c r="O73" s="205"/>
      <c r="P73" s="205"/>
    </row>
    <row r="74" spans="13:16" ht="12.75">
      <c r="M74" s="205"/>
      <c r="N74" s="205"/>
      <c r="O74" s="205"/>
      <c r="P74" s="205"/>
    </row>
    <row r="75" spans="13:16" ht="12.75">
      <c r="M75" s="205"/>
      <c r="N75" s="205"/>
      <c r="O75" s="205"/>
      <c r="P75" s="205"/>
    </row>
    <row r="76" spans="13:16" ht="12.75">
      <c r="M76" s="205"/>
      <c r="N76" s="205"/>
      <c r="O76" s="205"/>
      <c r="P76" s="205"/>
    </row>
    <row r="77" spans="13:16" ht="12.75">
      <c r="M77" s="205"/>
      <c r="N77" s="205"/>
      <c r="O77" s="205"/>
      <c r="P77" s="205"/>
    </row>
    <row r="78" spans="13:16" ht="12.75">
      <c r="M78" s="205"/>
      <c r="N78" s="205"/>
      <c r="O78" s="205"/>
      <c r="P78" s="205"/>
    </row>
    <row r="79" spans="13:16" ht="12.75">
      <c r="M79" s="205"/>
      <c r="N79" s="205"/>
      <c r="O79" s="205"/>
      <c r="P79" s="205"/>
    </row>
    <row r="80" spans="13:16" ht="12.75">
      <c r="M80" s="205"/>
      <c r="N80" s="205"/>
      <c r="O80" s="205"/>
      <c r="P80" s="205"/>
    </row>
    <row r="81" spans="13:16" ht="12.75">
      <c r="M81" s="205"/>
      <c r="N81" s="205"/>
      <c r="O81" s="205"/>
      <c r="P81" s="205"/>
    </row>
    <row r="82" spans="13:16" ht="12.75">
      <c r="M82" s="205"/>
      <c r="N82" s="205"/>
      <c r="O82" s="205"/>
      <c r="P82" s="205"/>
    </row>
    <row r="83" spans="13:16" ht="12.75">
      <c r="M83" s="205"/>
      <c r="N83" s="205"/>
      <c r="O83" s="205"/>
      <c r="P83" s="205"/>
    </row>
    <row r="84" spans="13:16" ht="12.75">
      <c r="M84" s="205"/>
      <c r="N84" s="205"/>
      <c r="O84" s="205"/>
      <c r="P84" s="205"/>
    </row>
    <row r="85" spans="13:16" ht="12.75">
      <c r="M85" s="205"/>
      <c r="N85" s="205"/>
      <c r="O85" s="205"/>
      <c r="P85" s="205"/>
    </row>
    <row r="86" spans="13:16" ht="12.75">
      <c r="M86" s="205"/>
      <c r="N86" s="205"/>
      <c r="O86" s="205"/>
      <c r="P86" s="205"/>
    </row>
    <row r="87" spans="13:16" ht="12.75">
      <c r="M87" s="205"/>
      <c r="N87" s="205"/>
      <c r="O87" s="205"/>
      <c r="P87" s="205"/>
    </row>
    <row r="88" spans="13:16" ht="12.75">
      <c r="M88" s="205"/>
      <c r="N88" s="205"/>
      <c r="O88" s="205"/>
      <c r="P88" s="205"/>
    </row>
    <row r="89" spans="13:16" ht="12.75">
      <c r="M89" s="205"/>
      <c r="N89" s="205"/>
      <c r="O89" s="205"/>
      <c r="P89" s="205"/>
    </row>
    <row r="90" spans="13:16" ht="12.75">
      <c r="M90" s="205"/>
      <c r="N90" s="205"/>
      <c r="O90" s="205"/>
      <c r="P90" s="205"/>
    </row>
    <row r="91" spans="13:16" ht="12.75">
      <c r="M91" s="205"/>
      <c r="N91" s="205"/>
      <c r="O91" s="205"/>
      <c r="P91" s="205"/>
    </row>
    <row r="92" spans="13:16" ht="12.75">
      <c r="M92" s="205"/>
      <c r="N92" s="205"/>
      <c r="O92" s="205"/>
      <c r="P92" s="205"/>
    </row>
    <row r="93" spans="13:16" ht="12.75">
      <c r="M93" s="205"/>
      <c r="N93" s="205"/>
      <c r="O93" s="205"/>
      <c r="P93" s="205"/>
    </row>
    <row r="94" spans="13:16" ht="12.75">
      <c r="M94" s="205"/>
      <c r="N94" s="205"/>
      <c r="O94" s="205"/>
      <c r="P94" s="205"/>
    </row>
    <row r="95" spans="13:16" ht="12.75">
      <c r="M95" s="205"/>
      <c r="N95" s="205"/>
      <c r="O95" s="205"/>
      <c r="P95" s="205"/>
    </row>
    <row r="96" spans="13:16" ht="12.75">
      <c r="M96" s="205"/>
      <c r="N96" s="205"/>
      <c r="O96" s="205"/>
      <c r="P96" s="205"/>
    </row>
    <row r="97" spans="13:16" ht="12.75">
      <c r="M97" s="205"/>
      <c r="N97" s="205"/>
      <c r="O97" s="205"/>
      <c r="P97" s="205"/>
    </row>
    <row r="98" spans="13:16" ht="12.75">
      <c r="M98" s="205"/>
      <c r="N98" s="205"/>
      <c r="O98" s="205"/>
      <c r="P98" s="205"/>
    </row>
    <row r="99" spans="13:16" ht="12.75">
      <c r="M99" s="205"/>
      <c r="N99" s="205"/>
      <c r="O99" s="205"/>
      <c r="P99" s="205"/>
    </row>
    <row r="100" spans="13:16" ht="12.75">
      <c r="M100" s="205"/>
      <c r="N100" s="205"/>
      <c r="O100" s="205"/>
      <c r="P100" s="205"/>
    </row>
    <row r="101" spans="13:16" ht="12.75">
      <c r="M101" s="205"/>
      <c r="N101" s="205"/>
      <c r="O101" s="205"/>
      <c r="P101" s="205"/>
    </row>
    <row r="102" spans="13:16" ht="12.75">
      <c r="M102" s="205"/>
      <c r="N102" s="205"/>
      <c r="O102" s="205"/>
      <c r="P102" s="205"/>
    </row>
    <row r="103" spans="13:16" ht="12.75">
      <c r="M103" s="205"/>
      <c r="N103" s="205"/>
      <c r="O103" s="205"/>
      <c r="P103" s="205"/>
    </row>
    <row r="104" spans="13:16" ht="12.75">
      <c r="M104" s="205"/>
      <c r="N104" s="205"/>
      <c r="O104" s="205"/>
      <c r="P104" s="205"/>
    </row>
    <row r="105" spans="13:16" ht="12.75">
      <c r="M105" s="205"/>
      <c r="N105" s="205"/>
      <c r="O105" s="205"/>
      <c r="P105" s="205"/>
    </row>
    <row r="106" spans="13:16" ht="12.75">
      <c r="M106" s="205"/>
      <c r="N106" s="205"/>
      <c r="O106" s="205"/>
      <c r="P106" s="205"/>
    </row>
    <row r="107" spans="13:16" ht="12.75">
      <c r="M107" s="205"/>
      <c r="N107" s="205"/>
      <c r="O107" s="205"/>
      <c r="P107" s="205"/>
    </row>
    <row r="108" spans="13:16" ht="12.75">
      <c r="M108" s="205"/>
      <c r="N108" s="205"/>
      <c r="O108" s="205"/>
      <c r="P108" s="205"/>
    </row>
    <row r="109" spans="13:16" ht="12.75">
      <c r="M109" s="205"/>
      <c r="N109" s="205"/>
      <c r="O109" s="205"/>
      <c r="P109" s="205"/>
    </row>
    <row r="110" spans="13:16" ht="12.75">
      <c r="M110" s="205"/>
      <c r="N110" s="205"/>
      <c r="O110" s="205"/>
      <c r="P110" s="205"/>
    </row>
    <row r="111" spans="13:16" ht="12.75">
      <c r="M111" s="205"/>
      <c r="N111" s="205"/>
      <c r="O111" s="205"/>
      <c r="P111" s="205"/>
    </row>
    <row r="112" spans="13:16" ht="12.75">
      <c r="M112" s="205"/>
      <c r="N112" s="205"/>
      <c r="O112" s="205"/>
      <c r="P112" s="205"/>
    </row>
    <row r="113" spans="13:16" ht="12.75">
      <c r="M113" s="205"/>
      <c r="N113" s="205"/>
      <c r="O113" s="205"/>
      <c r="P113" s="205"/>
    </row>
    <row r="114" spans="13:16" ht="12.75">
      <c r="M114" s="205"/>
      <c r="N114" s="205"/>
      <c r="O114" s="205"/>
      <c r="P114" s="205"/>
    </row>
    <row r="115" spans="13:16" ht="12.75">
      <c r="M115" s="205"/>
      <c r="N115" s="205"/>
      <c r="O115" s="205"/>
      <c r="P115" s="205"/>
    </row>
    <row r="116" spans="13:16" ht="12.75">
      <c r="M116" s="205"/>
      <c r="N116" s="205"/>
      <c r="O116" s="205"/>
      <c r="P116" s="205"/>
    </row>
    <row r="117" spans="13:16" ht="12.75">
      <c r="M117" s="205"/>
      <c r="N117" s="205"/>
      <c r="O117" s="205"/>
      <c r="P117" s="205"/>
    </row>
    <row r="118" spans="13:16" ht="12.75">
      <c r="M118" s="205"/>
      <c r="N118" s="205"/>
      <c r="O118" s="205"/>
      <c r="P118" s="205"/>
    </row>
    <row r="119" spans="13:16" ht="12.75">
      <c r="M119" s="205"/>
      <c r="N119" s="205"/>
      <c r="O119" s="205"/>
      <c r="P119" s="205"/>
    </row>
    <row r="120" spans="13:16" ht="12.75">
      <c r="M120" s="205"/>
      <c r="N120" s="205"/>
      <c r="O120" s="205"/>
      <c r="P120" s="205"/>
    </row>
    <row r="121" spans="13:16" ht="12.75">
      <c r="M121" s="205"/>
      <c r="N121" s="205"/>
      <c r="O121" s="205"/>
      <c r="P121" s="205"/>
    </row>
    <row r="122" spans="13:16" ht="12.75">
      <c r="M122" s="205"/>
      <c r="N122" s="205"/>
      <c r="O122" s="205"/>
      <c r="P122" s="205"/>
    </row>
    <row r="123" spans="13:16" ht="12.75">
      <c r="M123" s="205"/>
      <c r="N123" s="205"/>
      <c r="O123" s="205"/>
      <c r="P123" s="205"/>
    </row>
    <row r="124" spans="13:16" ht="12.75">
      <c r="M124" s="205"/>
      <c r="N124" s="205"/>
      <c r="O124" s="205"/>
      <c r="P124" s="205"/>
    </row>
    <row r="125" spans="13:16" ht="12.75">
      <c r="M125" s="205"/>
      <c r="N125" s="205"/>
      <c r="O125" s="205"/>
      <c r="P125" s="205"/>
    </row>
    <row r="126" spans="13:16" ht="12.75">
      <c r="M126" s="205"/>
      <c r="N126" s="205"/>
      <c r="O126" s="205"/>
      <c r="P126" s="205"/>
    </row>
    <row r="127" spans="13:16" ht="12.75">
      <c r="M127" s="205"/>
      <c r="N127" s="205"/>
      <c r="O127" s="205"/>
      <c r="P127" s="205"/>
    </row>
    <row r="128" spans="13:16" ht="12.75">
      <c r="M128" s="205"/>
      <c r="N128" s="205"/>
      <c r="O128" s="205"/>
      <c r="P128" s="205"/>
    </row>
    <row r="129" spans="13:16" ht="12.75">
      <c r="M129" s="205"/>
      <c r="N129" s="205"/>
      <c r="O129" s="205"/>
      <c r="P129" s="205"/>
    </row>
    <row r="130" spans="13:16" ht="12.75">
      <c r="M130" s="205"/>
      <c r="N130" s="205"/>
      <c r="O130" s="205"/>
      <c r="P130" s="205"/>
    </row>
    <row r="131" spans="13:16" ht="12.75">
      <c r="M131" s="205"/>
      <c r="N131" s="205"/>
      <c r="O131" s="205"/>
      <c r="P131" s="205"/>
    </row>
    <row r="132" spans="13:16" ht="12.75">
      <c r="M132" s="205"/>
      <c r="N132" s="205"/>
      <c r="O132" s="205"/>
      <c r="P132" s="205"/>
    </row>
    <row r="133" spans="13:16" ht="12.75">
      <c r="M133" s="205"/>
      <c r="N133" s="205"/>
      <c r="O133" s="205"/>
      <c r="P133" s="205"/>
    </row>
    <row r="134" spans="13:16" ht="12.75">
      <c r="M134" s="205"/>
      <c r="N134" s="205"/>
      <c r="O134" s="205"/>
      <c r="P134" s="205"/>
    </row>
    <row r="135" spans="13:16" ht="12.75">
      <c r="M135" s="205"/>
      <c r="N135" s="205"/>
      <c r="O135" s="205"/>
      <c r="P135" s="205"/>
    </row>
    <row r="136" spans="13:16" ht="12.75">
      <c r="M136" s="205"/>
      <c r="N136" s="205"/>
      <c r="O136" s="205"/>
      <c r="P136" s="205"/>
    </row>
    <row r="137" spans="13:16" ht="12.75">
      <c r="M137" s="205"/>
      <c r="N137" s="205"/>
      <c r="O137" s="205"/>
      <c r="P137" s="205"/>
    </row>
    <row r="138" spans="13:16" ht="12.75">
      <c r="M138" s="205"/>
      <c r="N138" s="205"/>
      <c r="O138" s="205"/>
      <c r="P138" s="205"/>
    </row>
    <row r="139" spans="13:16" ht="12.75">
      <c r="M139" s="205"/>
      <c r="N139" s="205"/>
      <c r="O139" s="205"/>
      <c r="P139" s="205"/>
    </row>
    <row r="140" spans="13:16" ht="12.75">
      <c r="M140" s="205"/>
      <c r="N140" s="205"/>
      <c r="O140" s="205"/>
      <c r="P140" s="205"/>
    </row>
    <row r="141" spans="13:16" ht="12.75">
      <c r="M141" s="205"/>
      <c r="N141" s="205"/>
      <c r="O141" s="205"/>
      <c r="P141" s="205"/>
    </row>
    <row r="142" spans="13:16" ht="12.75">
      <c r="M142" s="205"/>
      <c r="N142" s="205"/>
      <c r="O142" s="205"/>
      <c r="P142" s="205"/>
    </row>
    <row r="143" spans="13:16" ht="12.75">
      <c r="M143" s="205"/>
      <c r="N143" s="205"/>
      <c r="O143" s="205"/>
      <c r="P143" s="205"/>
    </row>
    <row r="144" spans="13:16" ht="12.75">
      <c r="M144" s="205"/>
      <c r="N144" s="205"/>
      <c r="O144" s="205"/>
      <c r="P144" s="205"/>
    </row>
    <row r="145" spans="13:16" ht="12.75">
      <c r="M145" s="205"/>
      <c r="N145" s="205"/>
      <c r="O145" s="205"/>
      <c r="P145" s="205"/>
    </row>
    <row r="146" spans="13:16" ht="12.75">
      <c r="M146" s="205"/>
      <c r="N146" s="205"/>
      <c r="O146" s="205"/>
      <c r="P146" s="205"/>
    </row>
    <row r="147" spans="13:16" ht="12.75">
      <c r="M147" s="205"/>
      <c r="N147" s="205"/>
      <c r="O147" s="205"/>
      <c r="P147" s="205"/>
    </row>
    <row r="148" spans="13:16" ht="12.75">
      <c r="M148" s="205"/>
      <c r="N148" s="205"/>
      <c r="O148" s="205"/>
      <c r="P148" s="205"/>
    </row>
    <row r="149" spans="13:16" ht="12.75">
      <c r="M149" s="205"/>
      <c r="N149" s="205"/>
      <c r="O149" s="205"/>
      <c r="P149" s="205"/>
    </row>
    <row r="150" spans="13:16" ht="12.75">
      <c r="M150" s="205"/>
      <c r="N150" s="205"/>
      <c r="O150" s="205"/>
      <c r="P150" s="205"/>
    </row>
    <row r="151" spans="13:16" ht="12.75">
      <c r="M151" s="205"/>
      <c r="N151" s="205"/>
      <c r="O151" s="205"/>
      <c r="P151" s="205"/>
    </row>
    <row r="152" spans="13:16" ht="12.75">
      <c r="M152" s="205"/>
      <c r="N152" s="205"/>
      <c r="O152" s="205"/>
      <c r="P152" s="205"/>
    </row>
    <row r="153" spans="13:16" ht="12.75">
      <c r="M153" s="205"/>
      <c r="N153" s="205"/>
      <c r="O153" s="205"/>
      <c r="P153" s="205"/>
    </row>
    <row r="154" spans="13:16" ht="12.75">
      <c r="M154" s="205"/>
      <c r="N154" s="205"/>
      <c r="O154" s="205"/>
      <c r="P154" s="205"/>
    </row>
    <row r="155" spans="13:16" ht="12.75">
      <c r="M155" s="205"/>
      <c r="N155" s="205"/>
      <c r="O155" s="205"/>
      <c r="P155" s="205"/>
    </row>
    <row r="156" spans="13:16" ht="12.75">
      <c r="M156" s="205"/>
      <c r="N156" s="205"/>
      <c r="O156" s="205"/>
      <c r="P156" s="205"/>
    </row>
    <row r="157" spans="13:16" ht="12.75">
      <c r="M157" s="205"/>
      <c r="N157" s="205"/>
      <c r="O157" s="205"/>
      <c r="P157" s="205"/>
    </row>
    <row r="158" spans="13:16" ht="12.75">
      <c r="M158" s="205"/>
      <c r="N158" s="205"/>
      <c r="O158" s="205"/>
      <c r="P158" s="205"/>
    </row>
    <row r="159" spans="13:16" ht="12.75">
      <c r="M159" s="205"/>
      <c r="N159" s="205"/>
      <c r="O159" s="205"/>
      <c r="P159" s="205"/>
    </row>
    <row r="160" spans="13:16" ht="12.75">
      <c r="M160" s="205"/>
      <c r="N160" s="205"/>
      <c r="O160" s="205"/>
      <c r="P160" s="205"/>
    </row>
    <row r="161" spans="13:16" ht="12.75">
      <c r="M161" s="205"/>
      <c r="N161" s="205"/>
      <c r="O161" s="205"/>
      <c r="P161" s="205"/>
    </row>
    <row r="162" spans="13:16" ht="12.75">
      <c r="M162" s="205"/>
      <c r="N162" s="205"/>
      <c r="O162" s="205"/>
      <c r="P162" s="205"/>
    </row>
    <row r="163" spans="13:16" ht="12.75">
      <c r="M163" s="205"/>
      <c r="N163" s="205"/>
      <c r="O163" s="205"/>
      <c r="P163" s="205"/>
    </row>
    <row r="164" spans="13:16" ht="12.75">
      <c r="M164" s="205"/>
      <c r="N164" s="205"/>
      <c r="O164" s="205"/>
      <c r="P164" s="205"/>
    </row>
    <row r="165" spans="13:16" ht="12.75">
      <c r="M165" s="205"/>
      <c r="N165" s="205"/>
      <c r="O165" s="205"/>
      <c r="P165" s="205"/>
    </row>
    <row r="166" spans="13:16" ht="12.75">
      <c r="M166" s="205"/>
      <c r="N166" s="205"/>
      <c r="O166" s="205"/>
      <c r="P166" s="205"/>
    </row>
    <row r="167" spans="13:16" ht="12.75">
      <c r="M167" s="205"/>
      <c r="N167" s="205"/>
      <c r="O167" s="205"/>
      <c r="P167" s="205"/>
    </row>
    <row r="168" spans="13:16" ht="12.75">
      <c r="M168" s="205"/>
      <c r="N168" s="205"/>
      <c r="O168" s="205"/>
      <c r="P168" s="205"/>
    </row>
    <row r="169" spans="13:16" ht="12.75">
      <c r="M169" s="205"/>
      <c r="N169" s="205"/>
      <c r="O169" s="205"/>
      <c r="P169" s="205"/>
    </row>
    <row r="170" spans="13:16" ht="12.75">
      <c r="M170" s="205"/>
      <c r="N170" s="205"/>
      <c r="O170" s="205"/>
      <c r="P170" s="205"/>
    </row>
    <row r="171" spans="13:16" ht="12.75">
      <c r="M171" s="205"/>
      <c r="N171" s="205"/>
      <c r="O171" s="205"/>
      <c r="P171" s="205"/>
    </row>
    <row r="172" spans="13:16" ht="12.75">
      <c r="M172" s="205"/>
      <c r="N172" s="205"/>
      <c r="O172" s="205"/>
      <c r="P172" s="205"/>
    </row>
    <row r="173" spans="13:16" ht="12.75">
      <c r="M173" s="205"/>
      <c r="N173" s="205"/>
      <c r="O173" s="205"/>
      <c r="P173" s="205"/>
    </row>
    <row r="174" spans="13:16" ht="12.75">
      <c r="M174" s="205"/>
      <c r="N174" s="205"/>
      <c r="O174" s="205"/>
      <c r="P174" s="205"/>
    </row>
    <row r="175" spans="13:16" ht="12.75">
      <c r="M175" s="205"/>
      <c r="N175" s="205"/>
      <c r="O175" s="205"/>
      <c r="P175" s="205"/>
    </row>
    <row r="176" spans="13:16" ht="12.75">
      <c r="M176" s="205"/>
      <c r="N176" s="205"/>
      <c r="O176" s="205"/>
      <c r="P176" s="205"/>
    </row>
    <row r="177" spans="13:16" ht="12.75">
      <c r="M177" s="205"/>
      <c r="N177" s="205"/>
      <c r="O177" s="205"/>
      <c r="P177" s="205"/>
    </row>
    <row r="178" spans="13:16" ht="12.75">
      <c r="M178" s="205"/>
      <c r="N178" s="205"/>
      <c r="O178" s="205"/>
      <c r="P178" s="205"/>
    </row>
    <row r="179" spans="13:16" ht="12.75">
      <c r="M179" s="205"/>
      <c r="N179" s="205"/>
      <c r="O179" s="205"/>
      <c r="P179" s="205"/>
    </row>
    <row r="180" spans="13:16" ht="12.75">
      <c r="M180" s="205"/>
      <c r="N180" s="205"/>
      <c r="O180" s="205"/>
      <c r="P180" s="205"/>
    </row>
    <row r="181" spans="13:16" ht="12.75">
      <c r="M181" s="205"/>
      <c r="N181" s="205"/>
      <c r="O181" s="205"/>
      <c r="P181" s="205"/>
    </row>
    <row r="182" spans="13:16" ht="12.75">
      <c r="M182" s="205"/>
      <c r="N182" s="205"/>
      <c r="O182" s="205"/>
      <c r="P182" s="205"/>
    </row>
    <row r="183" spans="13:16" ht="12.75">
      <c r="M183" s="205"/>
      <c r="N183" s="205"/>
      <c r="O183" s="205"/>
      <c r="P183" s="205"/>
    </row>
    <row r="184" spans="13:16" ht="12.75">
      <c r="M184" s="205"/>
      <c r="N184" s="205"/>
      <c r="O184" s="205"/>
      <c r="P184" s="205"/>
    </row>
    <row r="185" spans="13:16" ht="12.75">
      <c r="M185" s="205"/>
      <c r="N185" s="205"/>
      <c r="O185" s="205"/>
      <c r="P185" s="205"/>
    </row>
    <row r="186" spans="13:16" ht="12.75">
      <c r="M186" s="205"/>
      <c r="N186" s="205"/>
      <c r="O186" s="205"/>
      <c r="P186" s="205"/>
    </row>
    <row r="187" spans="13:16" ht="12.75">
      <c r="M187" s="205"/>
      <c r="N187" s="205"/>
      <c r="O187" s="205"/>
      <c r="P187" s="205"/>
    </row>
    <row r="188" spans="13:16" ht="12.75">
      <c r="M188" s="205"/>
      <c r="N188" s="205"/>
      <c r="O188" s="205"/>
      <c r="P188" s="205"/>
    </row>
    <row r="189" spans="13:16" ht="12.75">
      <c r="M189" s="205"/>
      <c r="N189" s="205"/>
      <c r="O189" s="205"/>
      <c r="P189" s="205"/>
    </row>
    <row r="190" spans="13:16" ht="12.75">
      <c r="M190" s="205"/>
      <c r="N190" s="205"/>
      <c r="O190" s="205"/>
      <c r="P190" s="205"/>
    </row>
    <row r="191" spans="13:16" ht="12.75">
      <c r="M191" s="205"/>
      <c r="N191" s="205"/>
      <c r="O191" s="205"/>
      <c r="P191" s="205"/>
    </row>
    <row r="192" spans="13:16" ht="12.75">
      <c r="M192" s="205"/>
      <c r="N192" s="205"/>
      <c r="O192" s="205"/>
      <c r="P192" s="205"/>
    </row>
    <row r="193" spans="13:16" ht="12.75">
      <c r="M193" s="205"/>
      <c r="N193" s="205"/>
      <c r="O193" s="205"/>
      <c r="P193" s="205"/>
    </row>
    <row r="194" spans="13:16" ht="12.75">
      <c r="M194" s="205"/>
      <c r="N194" s="205"/>
      <c r="O194" s="205"/>
      <c r="P194" s="205"/>
    </row>
    <row r="195" spans="13:16" ht="12.75">
      <c r="M195" s="205"/>
      <c r="N195" s="205"/>
      <c r="O195" s="205"/>
      <c r="P195" s="205"/>
    </row>
    <row r="196" spans="13:16" ht="12.75">
      <c r="M196" s="205"/>
      <c r="N196" s="205"/>
      <c r="O196" s="205"/>
      <c r="P196" s="205"/>
    </row>
    <row r="197" spans="13:16" ht="12.75">
      <c r="M197" s="205"/>
      <c r="N197" s="205"/>
      <c r="O197" s="205"/>
      <c r="P197" s="205"/>
    </row>
    <row r="198" spans="13:16" ht="12.75">
      <c r="M198" s="205"/>
      <c r="N198" s="205"/>
      <c r="O198" s="205"/>
      <c r="P198" s="205"/>
    </row>
    <row r="199" spans="13:16" ht="12.75">
      <c r="M199" s="205"/>
      <c r="N199" s="205"/>
      <c r="O199" s="205"/>
      <c r="P199" s="205"/>
    </row>
    <row r="200" spans="13:16" ht="12.75">
      <c r="M200" s="205"/>
      <c r="N200" s="205"/>
      <c r="O200" s="205"/>
      <c r="P200" s="205"/>
    </row>
    <row r="201" spans="13:16" ht="12.75">
      <c r="M201" s="205"/>
      <c r="N201" s="205"/>
      <c r="O201" s="205"/>
      <c r="P201" s="205"/>
    </row>
    <row r="202" spans="13:16" ht="12.75">
      <c r="M202" s="205"/>
      <c r="N202" s="205"/>
      <c r="O202" s="205"/>
      <c r="P202" s="205"/>
    </row>
    <row r="203" spans="13:16" ht="12.75">
      <c r="M203" s="205"/>
      <c r="N203" s="205"/>
      <c r="O203" s="205"/>
      <c r="P203" s="205"/>
    </row>
    <row r="204" spans="13:16" ht="12.75">
      <c r="M204" s="205"/>
      <c r="N204" s="205"/>
      <c r="O204" s="205"/>
      <c r="P204" s="205"/>
    </row>
    <row r="205" spans="13:16" ht="12.75">
      <c r="M205" s="205"/>
      <c r="N205" s="205"/>
      <c r="O205" s="205"/>
      <c r="P205" s="205"/>
    </row>
    <row r="206" spans="13:16" ht="12.75">
      <c r="M206" s="205"/>
      <c r="N206" s="205"/>
      <c r="O206" s="205"/>
      <c r="P206" s="205"/>
    </row>
    <row r="207" spans="13:16" ht="12.75">
      <c r="M207" s="205"/>
      <c r="N207" s="205"/>
      <c r="O207" s="205"/>
      <c r="P207" s="205"/>
    </row>
    <row r="208" spans="13:16" ht="12.75">
      <c r="M208" s="205"/>
      <c r="N208" s="205"/>
      <c r="O208" s="205"/>
      <c r="P208" s="205"/>
    </row>
    <row r="209" spans="13:16" ht="12.75">
      <c r="M209" s="205"/>
      <c r="N209" s="205"/>
      <c r="O209" s="205"/>
      <c r="P209" s="205"/>
    </row>
    <row r="210" spans="13:16" ht="12.75">
      <c r="M210" s="205"/>
      <c r="N210" s="205"/>
      <c r="O210" s="205"/>
      <c r="P210" s="205"/>
    </row>
    <row r="211" spans="13:16" ht="12.75">
      <c r="M211" s="205"/>
      <c r="N211" s="205"/>
      <c r="O211" s="205"/>
      <c r="P211" s="205"/>
    </row>
    <row r="212" spans="13:16" ht="12.75">
      <c r="M212" s="205"/>
      <c r="N212" s="205"/>
      <c r="O212" s="205"/>
      <c r="P212" s="205"/>
    </row>
    <row r="213" spans="13:16" ht="12.75">
      <c r="M213" s="205"/>
      <c r="N213" s="205"/>
      <c r="O213" s="205"/>
      <c r="P213" s="205"/>
    </row>
    <row r="214" spans="13:16" ht="12.75">
      <c r="M214" s="205"/>
      <c r="N214" s="205"/>
      <c r="O214" s="205"/>
      <c r="P214" s="205"/>
    </row>
    <row r="215" spans="13:16" ht="12.75">
      <c r="M215" s="205"/>
      <c r="N215" s="205"/>
      <c r="O215" s="205"/>
      <c r="P215" s="205"/>
    </row>
    <row r="216" spans="13:16" ht="12.75">
      <c r="M216" s="205"/>
      <c r="N216" s="205"/>
      <c r="O216" s="205"/>
      <c r="P216" s="205"/>
    </row>
    <row r="217" spans="13:16" ht="12.75">
      <c r="M217" s="205"/>
      <c r="N217" s="205"/>
      <c r="O217" s="205"/>
      <c r="P217" s="205"/>
    </row>
    <row r="218" spans="13:16" ht="12.75">
      <c r="M218" s="205"/>
      <c r="N218" s="205"/>
      <c r="O218" s="205"/>
      <c r="P218" s="205"/>
    </row>
    <row r="219" spans="13:16" ht="12.75">
      <c r="M219" s="205"/>
      <c r="N219" s="205"/>
      <c r="O219" s="205"/>
      <c r="P219" s="205"/>
    </row>
    <row r="220" spans="13:16" ht="12.75">
      <c r="M220" s="205"/>
      <c r="N220" s="205"/>
      <c r="O220" s="205"/>
      <c r="P220" s="205"/>
    </row>
    <row r="221" spans="13:16" ht="12.75">
      <c r="M221" s="205"/>
      <c r="N221" s="205"/>
      <c r="O221" s="205"/>
      <c r="P221" s="205"/>
    </row>
    <row r="222" spans="13:16" ht="12.75">
      <c r="M222" s="205"/>
      <c r="N222" s="205"/>
      <c r="O222" s="205"/>
      <c r="P222" s="205"/>
    </row>
    <row r="223" spans="13:16" ht="12.75">
      <c r="M223" s="205"/>
      <c r="N223" s="205"/>
      <c r="O223" s="205"/>
      <c r="P223" s="205"/>
    </row>
    <row r="224" spans="13:16" ht="12.75">
      <c r="M224" s="205"/>
      <c r="N224" s="205"/>
      <c r="O224" s="205"/>
      <c r="P224" s="205"/>
    </row>
    <row r="225" spans="13:16" ht="12.75">
      <c r="M225" s="205"/>
      <c r="N225" s="205"/>
      <c r="O225" s="205"/>
      <c r="P225" s="205"/>
    </row>
    <row r="226" spans="13:16" ht="12.75">
      <c r="M226" s="205"/>
      <c r="N226" s="205"/>
      <c r="O226" s="205"/>
      <c r="P226" s="205"/>
    </row>
    <row r="227" spans="13:16" ht="12.75">
      <c r="M227" s="205"/>
      <c r="N227" s="205"/>
      <c r="O227" s="205"/>
      <c r="P227" s="205"/>
    </row>
    <row r="228" spans="13:16" ht="12.75">
      <c r="M228" s="205"/>
      <c r="N228" s="205"/>
      <c r="O228" s="205"/>
      <c r="P228" s="205"/>
    </row>
    <row r="229" spans="13:16" ht="12.75">
      <c r="M229" s="205"/>
      <c r="N229" s="205"/>
      <c r="O229" s="205"/>
      <c r="P229" s="205"/>
    </row>
    <row r="230" spans="13:16" ht="12.75">
      <c r="M230" s="205"/>
      <c r="N230" s="205"/>
      <c r="O230" s="205"/>
      <c r="P230" s="205"/>
    </row>
    <row r="231" spans="13:16" ht="12.75">
      <c r="M231" s="205"/>
      <c r="N231" s="205"/>
      <c r="O231" s="205"/>
      <c r="P231" s="205"/>
    </row>
    <row r="232" spans="13:16" ht="12.75">
      <c r="M232" s="205"/>
      <c r="N232" s="205"/>
      <c r="O232" s="205"/>
      <c r="P232" s="205"/>
    </row>
    <row r="233" spans="13:16" ht="12.75">
      <c r="M233" s="205"/>
      <c r="N233" s="205"/>
      <c r="O233" s="205"/>
      <c r="P233" s="205"/>
    </row>
    <row r="234" spans="13:16" ht="12.75">
      <c r="M234" s="205"/>
      <c r="N234" s="205"/>
      <c r="O234" s="205"/>
      <c r="P234" s="205"/>
    </row>
    <row r="235" spans="13:16" ht="12.75">
      <c r="M235" s="205"/>
      <c r="N235" s="205"/>
      <c r="O235" s="205"/>
      <c r="P235" s="205"/>
    </row>
    <row r="236" spans="13:16" ht="12.75">
      <c r="M236" s="205"/>
      <c r="N236" s="205"/>
      <c r="O236" s="205"/>
      <c r="P236" s="205"/>
    </row>
    <row r="237" spans="13:16" ht="12.75">
      <c r="M237" s="205"/>
      <c r="N237" s="205"/>
      <c r="O237" s="205"/>
      <c r="P237" s="205"/>
    </row>
    <row r="238" spans="13:16" ht="12.75">
      <c r="M238" s="205"/>
      <c r="N238" s="205"/>
      <c r="O238" s="205"/>
      <c r="P238" s="205"/>
    </row>
    <row r="239" spans="13:16" ht="12.75">
      <c r="M239" s="205"/>
      <c r="N239" s="205"/>
      <c r="O239" s="205"/>
      <c r="P239" s="205"/>
    </row>
    <row r="240" spans="13:16" ht="12.75">
      <c r="M240" s="205"/>
      <c r="N240" s="205"/>
      <c r="O240" s="205"/>
      <c r="P240" s="205"/>
    </row>
    <row r="241" spans="13:16" ht="12.75">
      <c r="M241" s="205"/>
      <c r="N241" s="205"/>
      <c r="O241" s="205"/>
      <c r="P241" s="205"/>
    </row>
    <row r="242" spans="13:16" ht="12.75">
      <c r="M242" s="205"/>
      <c r="N242" s="205"/>
      <c r="O242" s="205"/>
      <c r="P242" s="205"/>
    </row>
    <row r="243" spans="13:16" ht="12.75">
      <c r="M243" s="205"/>
      <c r="N243" s="205"/>
      <c r="O243" s="205"/>
      <c r="P243" s="205"/>
    </row>
    <row r="244" spans="13:16" ht="12.75">
      <c r="M244" s="205"/>
      <c r="N244" s="205"/>
      <c r="O244" s="205"/>
      <c r="P244" s="205"/>
    </row>
    <row r="245" spans="13:16" ht="12.75">
      <c r="M245" s="205"/>
      <c r="N245" s="205"/>
      <c r="O245" s="205"/>
      <c r="P245" s="205"/>
    </row>
    <row r="246" spans="13:16" ht="12.75">
      <c r="M246" s="205"/>
      <c r="N246" s="205"/>
      <c r="O246" s="205"/>
      <c r="P246" s="205"/>
    </row>
    <row r="247" spans="13:16" ht="12.75">
      <c r="M247" s="205"/>
      <c r="N247" s="205"/>
      <c r="O247" s="205"/>
      <c r="P247" s="205"/>
    </row>
    <row r="248" spans="13:16" ht="12.75">
      <c r="M248" s="205"/>
      <c r="N248" s="205"/>
      <c r="O248" s="205"/>
      <c r="P248" s="205"/>
    </row>
    <row r="249" spans="13:16" ht="12.75">
      <c r="M249" s="205"/>
      <c r="N249" s="205"/>
      <c r="O249" s="205"/>
      <c r="P249" s="205"/>
    </row>
    <row r="250" spans="13:16" ht="12.75">
      <c r="M250" s="205"/>
      <c r="N250" s="205"/>
      <c r="O250" s="205"/>
      <c r="P250" s="205"/>
    </row>
    <row r="251" spans="13:16" ht="12.75">
      <c r="M251" s="205"/>
      <c r="N251" s="205"/>
      <c r="O251" s="205"/>
      <c r="P251" s="205"/>
    </row>
    <row r="252" spans="13:16" ht="12.75">
      <c r="M252" s="205"/>
      <c r="N252" s="205"/>
      <c r="O252" s="205"/>
      <c r="P252" s="205"/>
    </row>
    <row r="253" spans="13:16" ht="12.75">
      <c r="M253" s="205"/>
      <c r="N253" s="205"/>
      <c r="O253" s="205"/>
      <c r="P253" s="205"/>
    </row>
    <row r="254" spans="13:16" ht="12.75">
      <c r="M254" s="205"/>
      <c r="N254" s="205"/>
      <c r="O254" s="205"/>
      <c r="P254" s="205"/>
    </row>
    <row r="255" spans="13:16" ht="12.75">
      <c r="M255" s="205"/>
      <c r="N255" s="205"/>
      <c r="O255" s="205"/>
      <c r="P255" s="205"/>
    </row>
    <row r="256" spans="13:16" ht="12.75">
      <c r="M256" s="205"/>
      <c r="N256" s="205"/>
      <c r="O256" s="205"/>
      <c r="P256" s="205"/>
    </row>
    <row r="257" spans="13:16" ht="12.75">
      <c r="M257" s="205"/>
      <c r="N257" s="205"/>
      <c r="O257" s="205"/>
      <c r="P257" s="205"/>
    </row>
    <row r="258" spans="13:16" ht="12.75">
      <c r="M258" s="205"/>
      <c r="N258" s="205"/>
      <c r="O258" s="205"/>
      <c r="P258" s="205"/>
    </row>
    <row r="259" spans="13:16" ht="12.75">
      <c r="M259" s="205"/>
      <c r="N259" s="205"/>
      <c r="O259" s="205"/>
      <c r="P259" s="205"/>
    </row>
    <row r="260" spans="13:16" ht="12.75">
      <c r="M260" s="205"/>
      <c r="N260" s="205"/>
      <c r="O260" s="205"/>
      <c r="P260" s="205"/>
    </row>
    <row r="261" spans="13:16" ht="12.75">
      <c r="M261" s="205"/>
      <c r="N261" s="205"/>
      <c r="O261" s="205"/>
      <c r="P261" s="205"/>
    </row>
    <row r="262" spans="13:16" ht="12.75">
      <c r="M262" s="205"/>
      <c r="N262" s="205"/>
      <c r="O262" s="205"/>
      <c r="P262" s="205"/>
    </row>
    <row r="263" spans="13:16" ht="12.75">
      <c r="M263" s="205"/>
      <c r="N263" s="205"/>
      <c r="O263" s="205"/>
      <c r="P263" s="205"/>
    </row>
    <row r="264" spans="13:16" ht="12.75">
      <c r="M264" s="205"/>
      <c r="N264" s="205"/>
      <c r="O264" s="205"/>
      <c r="P264" s="205"/>
    </row>
    <row r="265" spans="13:16" ht="12.75">
      <c r="M265" s="205"/>
      <c r="N265" s="205"/>
      <c r="O265" s="205"/>
      <c r="P265" s="205"/>
    </row>
    <row r="266" spans="13:16" ht="12.75">
      <c r="M266" s="205"/>
      <c r="N266" s="205"/>
      <c r="O266" s="205"/>
      <c r="P266" s="205"/>
    </row>
    <row r="267" spans="13:16" ht="12.75">
      <c r="M267" s="205"/>
      <c r="N267" s="205"/>
      <c r="O267" s="205"/>
      <c r="P267" s="205"/>
    </row>
    <row r="268" spans="13:16" ht="12.75">
      <c r="M268" s="205"/>
      <c r="N268" s="205"/>
      <c r="O268" s="205"/>
      <c r="P268" s="205"/>
    </row>
    <row r="269" spans="13:16" ht="12.75">
      <c r="M269" s="205"/>
      <c r="N269" s="205"/>
      <c r="O269" s="205"/>
      <c r="P269" s="205"/>
    </row>
    <row r="270" spans="13:16" ht="12.75">
      <c r="M270" s="205"/>
      <c r="N270" s="205"/>
      <c r="O270" s="205"/>
      <c r="P270" s="205"/>
    </row>
    <row r="271" spans="13:16" ht="12.75">
      <c r="M271" s="205"/>
      <c r="N271" s="205"/>
      <c r="O271" s="205"/>
      <c r="P271" s="205"/>
    </row>
    <row r="272" spans="13:16" ht="12.75">
      <c r="M272" s="205"/>
      <c r="N272" s="205"/>
      <c r="O272" s="205"/>
      <c r="P272" s="205"/>
    </row>
    <row r="273" spans="13:16" ht="12.75">
      <c r="M273" s="205"/>
      <c r="N273" s="205"/>
      <c r="O273" s="205"/>
      <c r="P273" s="205"/>
    </row>
    <row r="274" spans="13:16" ht="12.75">
      <c r="M274" s="205"/>
      <c r="N274" s="205"/>
      <c r="O274" s="205"/>
      <c r="P274" s="205"/>
    </row>
    <row r="275" spans="13:16" ht="12.75">
      <c r="M275" s="205"/>
      <c r="N275" s="205"/>
      <c r="O275" s="205"/>
      <c r="P275" s="205"/>
    </row>
    <row r="276" spans="13:16" ht="12.75">
      <c r="M276" s="205"/>
      <c r="N276" s="205"/>
      <c r="O276" s="205"/>
      <c r="P276" s="205"/>
    </row>
    <row r="277" spans="13:16" ht="12.75">
      <c r="M277" s="205"/>
      <c r="N277" s="205"/>
      <c r="O277" s="205"/>
      <c r="P277" s="205"/>
    </row>
    <row r="278" spans="13:16" ht="12.75">
      <c r="M278" s="205"/>
      <c r="N278" s="205"/>
      <c r="O278" s="205"/>
      <c r="P278" s="205"/>
    </row>
    <row r="279" spans="13:16" ht="12.75">
      <c r="M279" s="205"/>
      <c r="N279" s="205"/>
      <c r="O279" s="205"/>
      <c r="P279" s="205"/>
    </row>
    <row r="280" spans="13:16" ht="12.75">
      <c r="M280" s="205"/>
      <c r="N280" s="205"/>
      <c r="O280" s="205"/>
      <c r="P280" s="205"/>
    </row>
    <row r="281" spans="13:16" ht="12.75">
      <c r="M281" s="205"/>
      <c r="N281" s="205"/>
      <c r="O281" s="205"/>
      <c r="P281" s="205"/>
    </row>
    <row r="282" spans="13:16" ht="12.75">
      <c r="M282" s="205"/>
      <c r="N282" s="205"/>
      <c r="O282" s="205"/>
      <c r="P282" s="205"/>
    </row>
    <row r="283" spans="13:16" ht="12.75">
      <c r="M283" s="205"/>
      <c r="N283" s="205"/>
      <c r="O283" s="205"/>
      <c r="P283" s="205"/>
    </row>
    <row r="284" spans="13:16" ht="12.75">
      <c r="M284" s="205"/>
      <c r="N284" s="205"/>
      <c r="O284" s="205"/>
      <c r="P284" s="205"/>
    </row>
    <row r="285" spans="13:16" ht="12.75">
      <c r="M285" s="205"/>
      <c r="N285" s="205"/>
      <c r="O285" s="205"/>
      <c r="P285" s="205"/>
    </row>
    <row r="286" spans="13:16" ht="12.75">
      <c r="M286" s="205"/>
      <c r="N286" s="205"/>
      <c r="O286" s="205"/>
      <c r="P286" s="205"/>
    </row>
    <row r="287" spans="13:16" ht="12.75">
      <c r="M287" s="205"/>
      <c r="N287" s="205"/>
      <c r="O287" s="205"/>
      <c r="P287" s="205"/>
    </row>
    <row r="288" spans="13:16" ht="12.75">
      <c r="M288" s="205"/>
      <c r="N288" s="205"/>
      <c r="O288" s="205"/>
      <c r="P288" s="205"/>
    </row>
    <row r="289" spans="13:16" ht="12.75">
      <c r="M289" s="205"/>
      <c r="N289" s="205"/>
      <c r="O289" s="205"/>
      <c r="P289" s="205"/>
    </row>
    <row r="290" spans="13:16" ht="12.75">
      <c r="M290" s="205"/>
      <c r="N290" s="205"/>
      <c r="O290" s="205"/>
      <c r="P290" s="205"/>
    </row>
    <row r="291" spans="13:16" ht="12.75">
      <c r="M291" s="205"/>
      <c r="N291" s="205"/>
      <c r="O291" s="205"/>
      <c r="P291" s="205"/>
    </row>
    <row r="292" spans="13:16" ht="12.75">
      <c r="M292" s="205"/>
      <c r="N292" s="205"/>
      <c r="O292" s="205"/>
      <c r="P292" s="205"/>
    </row>
    <row r="293" spans="13:16" ht="12.75">
      <c r="M293" s="205"/>
      <c r="N293" s="205"/>
      <c r="O293" s="205"/>
      <c r="P293" s="205"/>
    </row>
    <row r="294" spans="13:16" ht="12.75">
      <c r="M294" s="205"/>
      <c r="N294" s="205"/>
      <c r="O294" s="205"/>
      <c r="P294" s="205"/>
    </row>
    <row r="295" spans="13:16" ht="12.75">
      <c r="M295" s="205"/>
      <c r="N295" s="205"/>
      <c r="O295" s="205"/>
      <c r="P295" s="205"/>
    </row>
    <row r="296" spans="13:16" ht="12.75">
      <c r="M296" s="205"/>
      <c r="N296" s="205"/>
      <c r="O296" s="205"/>
      <c r="P296" s="205"/>
    </row>
    <row r="297" spans="13:16" ht="12.75">
      <c r="M297" s="205"/>
      <c r="N297" s="205"/>
      <c r="O297" s="205"/>
      <c r="P297" s="205"/>
    </row>
  </sheetData>
  <sheetProtection password="CAF5" sheet="1" objects="1" scenarios="1"/>
  <mergeCells count="9">
    <mergeCell ref="E8:E9"/>
    <mergeCell ref="C7:F7"/>
    <mergeCell ref="A1:P1"/>
    <mergeCell ref="A3:P3"/>
    <mergeCell ref="A4:P4"/>
    <mergeCell ref="H7:I7"/>
    <mergeCell ref="M6:P6"/>
    <mergeCell ref="M7:P7"/>
    <mergeCell ref="C6:J6"/>
  </mergeCells>
  <printOptions horizontalCentered="1"/>
  <pageMargins left="0.47" right="0.59" top="0.83" bottom="1" header="0.67" footer="0.5"/>
  <pageSetup fitToHeight="1" fitToWidth="1" horizontalDpi="600" verticalDpi="600" orientation="landscape" scale="75" r:id="rId1"/>
  <headerFooter scaleWithDoc="0" alignWithMargins="0">
    <oddFooter>&amp;L&amp;"Arial,Italic"MSDE - LFRO   10  / 2011&amp;C- 6 -&amp;R&amp;"Arial,Italic"Selected Financial Data-Part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6">
      <selection activeCell="C28" sqref="C28"/>
    </sheetView>
  </sheetViews>
  <sheetFormatPr defaultColWidth="9.140625" defaultRowHeight="12.75"/>
  <cols>
    <col min="1" max="1" width="14.421875" style="153" customWidth="1"/>
    <col min="2" max="2" width="18.8515625" style="270" customWidth="1"/>
    <col min="3" max="3" width="19.421875" style="252" customWidth="1"/>
    <col min="4" max="4" width="16.00390625" style="270" customWidth="1"/>
    <col min="5" max="5" width="15.28125" style="252" customWidth="1"/>
    <col min="6" max="7" width="16.28125" style="270" customWidth="1"/>
    <col min="8" max="8" width="14.8515625" style="270" customWidth="1"/>
    <col min="9" max="9" width="16.28125" style="270" customWidth="1"/>
    <col min="10" max="10" width="16.00390625" style="0" customWidth="1"/>
    <col min="11" max="11" width="12.57421875" style="0" bestFit="1" customWidth="1"/>
    <col min="12" max="12" width="15.00390625" style="0" bestFit="1" customWidth="1"/>
    <col min="13" max="13" width="14.140625" style="0" bestFit="1" customWidth="1"/>
    <col min="14" max="14" width="14.00390625" style="0" bestFit="1" customWidth="1"/>
    <col min="15" max="15" width="16.140625" style="0" bestFit="1" customWidth="1"/>
    <col min="17" max="17" width="12.57421875" style="0" bestFit="1" customWidth="1"/>
    <col min="18" max="19" width="14.28125" style="0" bestFit="1" customWidth="1"/>
    <col min="20" max="20" width="15.140625" style="0" customWidth="1"/>
    <col min="21" max="21" width="16.28125" style="0" bestFit="1" customWidth="1"/>
    <col min="22" max="22" width="16.00390625" style="0" bestFit="1" customWidth="1"/>
    <col min="23" max="23" width="14.00390625" style="0" bestFit="1" customWidth="1"/>
    <col min="24" max="24" width="17.8515625" style="0" customWidth="1"/>
    <col min="26" max="26" width="15.28125" style="0" bestFit="1" customWidth="1"/>
    <col min="27" max="27" width="14.28125" style="0" bestFit="1" customWidth="1"/>
    <col min="29" max="29" width="11.28125" style="0" bestFit="1" customWidth="1"/>
    <col min="30" max="30" width="11.7109375" style="0" bestFit="1" customWidth="1"/>
    <col min="33" max="33" width="12.28125" style="0" bestFit="1" customWidth="1"/>
    <col min="34" max="34" width="12.57421875" style="0" bestFit="1" customWidth="1"/>
    <col min="36" max="36" width="12.7109375" style="0" bestFit="1" customWidth="1"/>
    <col min="37" max="37" width="15.28125" style="0" bestFit="1" customWidth="1"/>
    <col min="39" max="39" width="15.00390625" style="0" bestFit="1" customWidth="1"/>
    <col min="41" max="41" width="14.28125" style="0" bestFit="1" customWidth="1"/>
    <col min="42" max="42" width="12.28125" style="0" bestFit="1" customWidth="1"/>
    <col min="43" max="43" width="16.421875" style="0" bestFit="1" customWidth="1"/>
  </cols>
  <sheetData>
    <row r="1" spans="1:9" ht="12.75">
      <c r="A1" s="396" t="s">
        <v>42</v>
      </c>
      <c r="B1" s="396"/>
      <c r="C1" s="396"/>
      <c r="D1" s="396"/>
      <c r="E1" s="396"/>
      <c r="F1" s="396"/>
      <c r="G1" s="396"/>
      <c r="H1" s="396"/>
      <c r="I1" s="396"/>
    </row>
    <row r="2" spans="1:2" ht="12.75">
      <c r="A2" s="23"/>
      <c r="B2" s="239"/>
    </row>
    <row r="3" spans="1:9" ht="12.75">
      <c r="A3" s="420" t="s">
        <v>266</v>
      </c>
      <c r="B3" s="420"/>
      <c r="C3" s="420"/>
      <c r="D3" s="420"/>
      <c r="E3" s="420"/>
      <c r="F3" s="420"/>
      <c r="G3" s="420"/>
      <c r="H3" s="420"/>
      <c r="I3" s="420"/>
    </row>
    <row r="4" spans="1:9" ht="13.5" thickBot="1">
      <c r="A4" s="23"/>
      <c r="D4" s="276"/>
      <c r="E4" s="294"/>
      <c r="F4" s="276"/>
      <c r="G4" s="276"/>
      <c r="H4" s="276"/>
      <c r="I4" s="276"/>
    </row>
    <row r="5" spans="1:9" ht="15" customHeight="1" thickTop="1">
      <c r="A5" s="125"/>
      <c r="B5" s="295"/>
      <c r="C5" s="296"/>
      <c r="D5" s="421" t="s">
        <v>46</v>
      </c>
      <c r="E5" s="421"/>
      <c r="F5" s="421"/>
      <c r="G5" s="421"/>
      <c r="H5" s="421"/>
      <c r="I5" s="421"/>
    </row>
    <row r="6" spans="1:9" ht="12.75" customHeight="1">
      <c r="A6" s="32"/>
      <c r="B6" s="297"/>
      <c r="C6" s="298" t="s">
        <v>43</v>
      </c>
      <c r="D6" s="271"/>
      <c r="E6" s="283"/>
      <c r="F6" s="266"/>
      <c r="G6" s="266"/>
      <c r="H6" s="424" t="s">
        <v>213</v>
      </c>
      <c r="I6" s="422" t="s">
        <v>163</v>
      </c>
    </row>
    <row r="7" spans="1:9" ht="12.75">
      <c r="A7" s="32" t="s">
        <v>80</v>
      </c>
      <c r="B7" s="266" t="s">
        <v>43</v>
      </c>
      <c r="C7" s="298" t="s">
        <v>49</v>
      </c>
      <c r="D7" s="424" t="s">
        <v>174</v>
      </c>
      <c r="E7" s="424" t="s">
        <v>235</v>
      </c>
      <c r="F7" s="424" t="s">
        <v>236</v>
      </c>
      <c r="G7" s="332"/>
      <c r="H7" s="424"/>
      <c r="I7" s="422"/>
    </row>
    <row r="8" spans="1:9" ht="12.75" customHeight="1">
      <c r="A8" s="32" t="s">
        <v>33</v>
      </c>
      <c r="B8" s="299" t="s">
        <v>44</v>
      </c>
      <c r="C8" s="298" t="s">
        <v>50</v>
      </c>
      <c r="D8" s="426"/>
      <c r="E8" s="426"/>
      <c r="F8" s="426"/>
      <c r="G8" s="426" t="s">
        <v>242</v>
      </c>
      <c r="H8" s="424"/>
      <c r="I8" s="422"/>
    </row>
    <row r="9" spans="1:9" ht="13.5" thickBot="1">
      <c r="A9" s="53" t="s">
        <v>137</v>
      </c>
      <c r="B9" s="300" t="s">
        <v>45</v>
      </c>
      <c r="C9" s="301" t="s">
        <v>48</v>
      </c>
      <c r="D9" s="427"/>
      <c r="E9" s="427"/>
      <c r="F9" s="427"/>
      <c r="G9" s="428"/>
      <c r="H9" s="425"/>
      <c r="I9" s="423"/>
    </row>
    <row r="10" spans="1:9" ht="12.75">
      <c r="A10" s="32" t="s">
        <v>0</v>
      </c>
      <c r="B10" s="302">
        <f aca="true" t="shared" si="0" ref="B10:H10">SUM(B12:B39)</f>
        <v>5544621783.279001</v>
      </c>
      <c r="C10" s="302">
        <f t="shared" si="0"/>
        <v>5272955940.369</v>
      </c>
      <c r="D10" s="302">
        <f t="shared" si="0"/>
        <v>2764587576.27</v>
      </c>
      <c r="E10" s="303">
        <f t="shared" si="0"/>
        <v>64261233</v>
      </c>
      <c r="F10" s="303">
        <f t="shared" si="0"/>
        <v>31550.25</v>
      </c>
      <c r="G10" s="303">
        <f t="shared" si="0"/>
        <v>25639361</v>
      </c>
      <c r="H10" s="302">
        <f t="shared" si="0"/>
        <v>914367170.01</v>
      </c>
      <c r="I10" s="318">
        <f>SUM(I12:I39)</f>
        <v>720965980.0389999</v>
      </c>
    </row>
    <row r="11" spans="1:9" ht="12.75">
      <c r="A11" s="32"/>
      <c r="B11" s="304"/>
      <c r="D11" s="305"/>
      <c r="E11" s="298"/>
      <c r="F11" s="305"/>
      <c r="G11" s="305"/>
      <c r="H11" s="305"/>
      <c r="I11" s="318"/>
    </row>
    <row r="12" spans="1:9" ht="12.75">
      <c r="A12" s="23" t="s">
        <v>1</v>
      </c>
      <c r="B12" s="239">
        <f>+C12+state5!B11+state5!F11+state5!J11</f>
        <v>93026200.82999998</v>
      </c>
      <c r="C12" s="252">
        <f>SUM(D12:I12)+SUM(state2!B12:I12)+SUM(state3!B13:J13)+SUM(state4!B13:G13)</f>
        <v>92417486.36999999</v>
      </c>
      <c r="D12" s="243">
        <v>43060412</v>
      </c>
      <c r="E12" s="247">
        <v>8227142</v>
      </c>
      <c r="F12" s="247">
        <v>0</v>
      </c>
      <c r="G12" s="247">
        <v>230655</v>
      </c>
      <c r="H12" s="243">
        <v>21358904</v>
      </c>
      <c r="I12" s="360">
        <v>7473173.16</v>
      </c>
    </row>
    <row r="13" spans="1:9" ht="12.75">
      <c r="A13" s="153" t="s">
        <v>2</v>
      </c>
      <c r="B13" s="239">
        <f>+C13+state5!B12+state5!F12+state5!J12</f>
        <v>367395751.04899985</v>
      </c>
      <c r="C13" s="252">
        <f>SUM(D13:I13)+SUM(state2!B13:I13)+SUM(state3!B14:J14)+SUM(state4!B14:G14)</f>
        <v>325975276.04899985</v>
      </c>
      <c r="D13" s="243">
        <v>175623209</v>
      </c>
      <c r="E13" s="306">
        <v>0</v>
      </c>
      <c r="F13" s="247">
        <v>0</v>
      </c>
      <c r="G13" s="306">
        <v>0</v>
      </c>
      <c r="H13" s="243">
        <v>40430497</v>
      </c>
      <c r="I13" s="360">
        <v>59743484.349</v>
      </c>
    </row>
    <row r="14" spans="1:11" ht="12.75">
      <c r="A14" s="153" t="s">
        <v>3</v>
      </c>
      <c r="B14" s="239">
        <f>+C14+state5!B13+state5!F13+state5!J13</f>
        <v>893890759.7700001</v>
      </c>
      <c r="C14" s="252">
        <f>SUM(D14:I14)+SUM(state2!B14:I14)+SUM(state3!B15:J15)+SUM(state4!B15:G15)</f>
        <v>871046735.11</v>
      </c>
      <c r="D14" s="243">
        <v>388657369.64</v>
      </c>
      <c r="E14" s="247">
        <v>33281287</v>
      </c>
      <c r="F14" s="306">
        <v>0</v>
      </c>
      <c r="G14" s="239">
        <v>9512719</v>
      </c>
      <c r="H14" s="243">
        <v>262094691</v>
      </c>
      <c r="I14" s="360">
        <v>67956751.67</v>
      </c>
      <c r="J14" s="40"/>
      <c r="K14" s="40"/>
    </row>
    <row r="15" spans="1:9" ht="12.75">
      <c r="A15" s="153" t="s">
        <v>4</v>
      </c>
      <c r="B15" s="239">
        <f>+C15+state5!B14+state5!F14+state5!J14</f>
        <v>612153453.02</v>
      </c>
      <c r="C15" s="252">
        <f>SUM(D15:I15)+SUM(state2!B15:I15)+SUM(state3!B16:J16)+SUM(state4!B16:G16)</f>
        <v>587119428.02</v>
      </c>
      <c r="D15" s="243">
        <f>323556030+1594242</f>
        <v>325150272</v>
      </c>
      <c r="E15" s="306">
        <v>0</v>
      </c>
      <c r="F15" s="239">
        <f>21177.57+6372.68</f>
        <v>27550.25</v>
      </c>
      <c r="G15" s="306">
        <v>0</v>
      </c>
      <c r="H15" s="243">
        <v>91243984</v>
      </c>
      <c r="I15" s="360">
        <v>81456385.36</v>
      </c>
    </row>
    <row r="16" spans="1:9" ht="12.75">
      <c r="A16" s="153" t="s">
        <v>5</v>
      </c>
      <c r="B16" s="239">
        <f>+C16+state5!B15+state5!F15+state5!J15</f>
        <v>104716038.72999999</v>
      </c>
      <c r="C16" s="252">
        <f>SUM(D16:I16)+SUM(state2!B16:I16)+SUM(state3!B17:J17)+SUM(state4!B17:G17)</f>
        <v>99063464.17999999</v>
      </c>
      <c r="D16" s="243">
        <v>63929127</v>
      </c>
      <c r="E16" s="306">
        <v>0</v>
      </c>
      <c r="F16" s="306">
        <v>0</v>
      </c>
      <c r="G16" s="306">
        <v>0</v>
      </c>
      <c r="H16" s="243">
        <v>7707063</v>
      </c>
      <c r="I16" s="360">
        <v>14672526.04</v>
      </c>
    </row>
    <row r="17" spans="2:9" ht="12.75">
      <c r="B17" s="239"/>
      <c r="D17" s="243"/>
      <c r="E17" s="307"/>
      <c r="F17" s="239"/>
      <c r="G17" s="239"/>
      <c r="H17" s="243"/>
      <c r="I17" s="360"/>
    </row>
    <row r="18" spans="1:9" ht="12.75">
      <c r="A18" s="153" t="s">
        <v>6</v>
      </c>
      <c r="B18" s="239">
        <f>+C18+state5!B17+state5!F17+state5!J17</f>
        <v>56324219.42</v>
      </c>
      <c r="C18" s="252">
        <f>SUM(D18:I18)+SUM(state2!B18:I18)+SUM(state3!B19:J19)+SUM(state4!B19:G19)</f>
        <v>45530086.45</v>
      </c>
      <c r="D18" s="243">
        <v>24180355</v>
      </c>
      <c r="E18" s="247">
        <v>563489</v>
      </c>
      <c r="F18" s="306">
        <v>0</v>
      </c>
      <c r="G18" s="306">
        <v>0</v>
      </c>
      <c r="H18" s="243">
        <v>10166562</v>
      </c>
      <c r="I18" s="360">
        <v>4143175.74</v>
      </c>
    </row>
    <row r="19" spans="1:9" ht="12.75">
      <c r="A19" s="153" t="s">
        <v>7</v>
      </c>
      <c r="B19" s="239">
        <f>+C19+state5!B18+state5!F18+state5!J18</f>
        <v>171423127.56</v>
      </c>
      <c r="C19" s="252">
        <f>SUM(D19:I19)+SUM(state2!B19:I19)+SUM(state3!B20:J20)+SUM(state4!B20:G20)</f>
        <v>161120176.4</v>
      </c>
      <c r="D19" s="243">
        <v>105980058</v>
      </c>
      <c r="E19" s="306">
        <v>0</v>
      </c>
      <c r="F19" s="306">
        <v>0</v>
      </c>
      <c r="G19" s="247">
        <v>260872</v>
      </c>
      <c r="H19" s="243">
        <v>10074327</v>
      </c>
      <c r="I19" s="360">
        <v>22551695.2</v>
      </c>
    </row>
    <row r="20" spans="1:9" ht="12.75">
      <c r="A20" s="153" t="s">
        <v>8</v>
      </c>
      <c r="B20" s="239">
        <f>+C20+state5!B19+state5!F19+state5!J19</f>
        <v>112653487.61000001</v>
      </c>
      <c r="C20" s="252">
        <f>SUM(D20:I20)+SUM(state2!B20:I20)+SUM(state3!B21:J21)+SUM(state4!B21:G21)</f>
        <v>108729021.54000002</v>
      </c>
      <c r="D20" s="243">
        <v>64367481</v>
      </c>
      <c r="E20" s="247">
        <v>2009448</v>
      </c>
      <c r="F20" s="306">
        <v>0</v>
      </c>
      <c r="G20" s="306">
        <v>0</v>
      </c>
      <c r="H20" s="243">
        <v>16052053</v>
      </c>
      <c r="I20" s="360">
        <v>12507813.3</v>
      </c>
    </row>
    <row r="21" spans="1:9" ht="12.75">
      <c r="A21" s="153" t="s">
        <v>9</v>
      </c>
      <c r="B21" s="239">
        <f>+C21+state5!B20+state5!F20+state5!J20</f>
        <v>178717354.46</v>
      </c>
      <c r="C21" s="252">
        <f>SUM(D21:I21)+SUM(state2!B21:I21)+SUM(state3!B22:J22)+SUM(state4!B22:G22)</f>
        <v>167117389.25</v>
      </c>
      <c r="D21" s="243">
        <v>104269708</v>
      </c>
      <c r="E21" s="247">
        <v>2720383</v>
      </c>
      <c r="F21" s="306">
        <v>0</v>
      </c>
      <c r="G21" s="306">
        <v>0</v>
      </c>
      <c r="H21" s="243">
        <v>20536263</v>
      </c>
      <c r="I21" s="360">
        <v>20804214.44</v>
      </c>
    </row>
    <row r="22" spans="1:9" ht="12.75">
      <c r="A22" s="153" t="s">
        <v>10</v>
      </c>
      <c r="B22" s="239">
        <f>+C22+state5!B21+state5!F21+state5!J21</f>
        <v>40611719.239999995</v>
      </c>
      <c r="C22" s="252">
        <f>SUM(D22:I22)+SUM(state2!B22:I22)+SUM(state3!B23:J23)+SUM(state4!B23:G23)</f>
        <v>32675951.239999995</v>
      </c>
      <c r="D22" s="243">
        <v>17036779.99</v>
      </c>
      <c r="E22" s="247">
        <v>7866</v>
      </c>
      <c r="F22" s="306">
        <v>0</v>
      </c>
      <c r="G22" s="247">
        <v>863633</v>
      </c>
      <c r="H22" s="243">
        <v>6772096.01</v>
      </c>
      <c r="I22" s="360">
        <v>3646747.08</v>
      </c>
    </row>
    <row r="23" spans="1:9" ht="12.75">
      <c r="A23" s="220"/>
      <c r="B23" s="239"/>
      <c r="D23" s="243"/>
      <c r="E23" s="307"/>
      <c r="F23" s="239"/>
      <c r="G23" s="239"/>
      <c r="H23" s="243"/>
      <c r="I23" s="360"/>
    </row>
    <row r="24" spans="1:9" ht="12.75">
      <c r="A24" s="153" t="s">
        <v>11</v>
      </c>
      <c r="B24" s="239">
        <f>+C24+state5!B23+state5!F23+state5!J23</f>
        <v>247673937.89999998</v>
      </c>
      <c r="C24" s="252">
        <f>SUM(D24:I24)+SUM(state2!B24:I24)+SUM(state3!B25:J25)+SUM(state4!B25:G25)</f>
        <v>230456263.06999996</v>
      </c>
      <c r="D24" s="243">
        <v>146554026</v>
      </c>
      <c r="E24" s="306">
        <v>0</v>
      </c>
      <c r="F24" s="306">
        <v>0</v>
      </c>
      <c r="G24" s="306">
        <v>0</v>
      </c>
      <c r="H24" s="243">
        <v>20205568</v>
      </c>
      <c r="I24" s="360">
        <v>31746150.48</v>
      </c>
    </row>
    <row r="25" spans="1:9" ht="12.75">
      <c r="A25" s="153" t="s">
        <v>12</v>
      </c>
      <c r="B25" s="239">
        <f>+C25+state5!B24+state5!F24+state5!J24</f>
        <v>28123534.459999997</v>
      </c>
      <c r="C25" s="252">
        <f>SUM(D25:I25)+SUM(state2!B25:I25)+SUM(state3!B26:J26)+SUM(state4!B26:G26)</f>
        <v>28036313.459999997</v>
      </c>
      <c r="D25" s="243">
        <v>14446007</v>
      </c>
      <c r="E25" s="306">
        <v>0</v>
      </c>
      <c r="F25" s="306">
        <v>0</v>
      </c>
      <c r="G25" s="239">
        <v>624015</v>
      </c>
      <c r="H25" s="243">
        <v>4716766</v>
      </c>
      <c r="I25" s="360">
        <v>3570276.41</v>
      </c>
    </row>
    <row r="26" spans="1:9" ht="12.75">
      <c r="A26" s="153" t="s">
        <v>13</v>
      </c>
      <c r="B26" s="239">
        <f>+C26+state5!B25+state5!F25+state5!J25</f>
        <v>253420279.26</v>
      </c>
      <c r="C26" s="252">
        <f>SUM(D26:I26)+SUM(state2!B26:I26)+SUM(state3!B27:J27)+SUM(state4!B27:G27)</f>
        <v>235764938.26</v>
      </c>
      <c r="D26" s="243">
        <v>146644783</v>
      </c>
      <c r="E26" s="306">
        <v>0</v>
      </c>
      <c r="F26" s="247">
        <v>4000</v>
      </c>
      <c r="G26" s="239">
        <v>504756</v>
      </c>
      <c r="H26" s="243">
        <v>25933668</v>
      </c>
      <c r="I26" s="360">
        <v>30088088.7</v>
      </c>
    </row>
    <row r="27" spans="1:9" ht="12.75">
      <c r="A27" s="153" t="s">
        <v>14</v>
      </c>
      <c r="B27" s="239">
        <f>+C27+state5!B26+state5!F26+state5!J26</f>
        <v>261328230.40000004</v>
      </c>
      <c r="C27" s="252">
        <f>SUM(D27:I27)+SUM(state2!B27:I27)+SUM(state3!B28:J28)+SUM(state4!B28:G28)</f>
        <v>241708013.40000004</v>
      </c>
      <c r="D27" s="243">
        <v>143149397</v>
      </c>
      <c r="E27" s="306">
        <v>0</v>
      </c>
      <c r="F27" s="306">
        <v>0</v>
      </c>
      <c r="G27" s="239">
        <v>0</v>
      </c>
      <c r="H27" s="243">
        <v>15741217</v>
      </c>
      <c r="I27" s="360">
        <v>50609344.86</v>
      </c>
    </row>
    <row r="28" spans="1:9" ht="12.75">
      <c r="A28" s="153" t="s">
        <v>15</v>
      </c>
      <c r="B28" s="239">
        <f>+C28+state5!B27+state5!F27+state5!J27</f>
        <v>12412645.68</v>
      </c>
      <c r="C28" s="252">
        <f>SUM(D28:I28)+SUM(state2!B28:I28)+SUM(state3!B29:J29)+SUM(state4!B29:G29)</f>
        <v>12347557.68</v>
      </c>
      <c r="D28" s="243">
        <f>3734268+41765</f>
        <v>3776033</v>
      </c>
      <c r="E28" s="306">
        <v>0</v>
      </c>
      <c r="F28" s="306">
        <v>0</v>
      </c>
      <c r="G28" s="369">
        <v>521284</v>
      </c>
      <c r="H28" s="243">
        <v>2119544</v>
      </c>
      <c r="I28" s="360">
        <v>1984131.67</v>
      </c>
    </row>
    <row r="29" spans="2:9" ht="12.75">
      <c r="B29" s="239"/>
      <c r="D29" s="243"/>
      <c r="E29" s="307"/>
      <c r="F29" s="239"/>
      <c r="G29" s="239"/>
      <c r="H29" s="243"/>
      <c r="I29" s="360"/>
    </row>
    <row r="30" spans="1:9" ht="12.75">
      <c r="A30" s="153" t="s">
        <v>16</v>
      </c>
      <c r="B30" s="239">
        <f>+C30+state5!B29+state5!F29+state5!J29</f>
        <v>616443570.0300001</v>
      </c>
      <c r="C30" s="252">
        <f>SUM(D30:I30)+SUM(state2!B30:I30)+SUM(state3!B31:J31)+SUM(state4!B31:G31)</f>
        <v>585326955.0300001</v>
      </c>
      <c r="D30" s="360">
        <v>232881845</v>
      </c>
      <c r="E30" s="306">
        <v>0</v>
      </c>
      <c r="F30" s="306">
        <v>0</v>
      </c>
      <c r="G30" s="306">
        <v>0</v>
      </c>
      <c r="H30" s="243">
        <v>88497924</v>
      </c>
      <c r="I30" s="360">
        <v>143572836.36</v>
      </c>
    </row>
    <row r="31" spans="1:9" ht="12.75">
      <c r="A31" s="153" t="s">
        <v>17</v>
      </c>
      <c r="B31" s="239">
        <f>+C31+state5!B30+state5!F30+state5!J30</f>
        <v>978542855.02</v>
      </c>
      <c r="C31" s="252">
        <f>SUM(D31:I31)+SUM(state2!B31:I31)+SUM(state3!B32:J32)+SUM(state4!B32:G32)</f>
        <v>967523931.02</v>
      </c>
      <c r="D31" s="360">
        <v>507057568.64</v>
      </c>
      <c r="E31" s="247">
        <v>6795692</v>
      </c>
      <c r="F31" s="306">
        <v>0</v>
      </c>
      <c r="G31" s="247">
        <v>10688422</v>
      </c>
      <c r="H31" s="243">
        <v>181192722</v>
      </c>
      <c r="I31" s="360">
        <v>107215320.67</v>
      </c>
    </row>
    <row r="32" spans="1:9" ht="12.75">
      <c r="A32" s="153" t="s">
        <v>18</v>
      </c>
      <c r="B32" s="239">
        <f>+C32+state5!B31+state5!F31+state5!J31</f>
        <v>37031143.39000001</v>
      </c>
      <c r="C32" s="252">
        <f>SUM(D32:I32)+SUM(state2!B32:I32)+SUM(state3!B33:J33)+SUM(state4!B33:G33)</f>
        <v>35815668.49</v>
      </c>
      <c r="D32" s="360">
        <v>20787915</v>
      </c>
      <c r="E32" s="306">
        <v>0</v>
      </c>
      <c r="F32" s="306">
        <v>0</v>
      </c>
      <c r="G32" s="306">
        <v>0</v>
      </c>
      <c r="H32" s="243">
        <v>3142685</v>
      </c>
      <c r="I32" s="360">
        <v>5455818.44</v>
      </c>
    </row>
    <row r="33" spans="1:9" ht="12.75">
      <c r="A33" s="153" t="s">
        <v>19</v>
      </c>
      <c r="B33" s="239">
        <f>+C33+state5!B32+state5!F32+state5!J32</f>
        <v>105885729.38000001</v>
      </c>
      <c r="C33" s="252">
        <f>SUM(D33:I33)+SUM(state2!B33:I33)+SUM(state3!B34:J34)+SUM(state4!B34:G34)</f>
        <v>102410784.17</v>
      </c>
      <c r="D33" s="360">
        <v>61963871</v>
      </c>
      <c r="E33" s="247">
        <v>0</v>
      </c>
      <c r="F33" s="306">
        <v>0</v>
      </c>
      <c r="G33" s="247">
        <v>2433005</v>
      </c>
      <c r="H33" s="243">
        <v>11978697</v>
      </c>
      <c r="I33" s="360">
        <v>12433674.72</v>
      </c>
    </row>
    <row r="34" spans="1:9" ht="12.75">
      <c r="A34" s="153" t="s">
        <v>20</v>
      </c>
      <c r="B34" s="239">
        <f>+C34+state5!B33+state5!F33+state5!J33</f>
        <v>32024999.259999998</v>
      </c>
      <c r="C34" s="252">
        <f>SUM(D34:I34)+SUM(state2!B34:I34)+SUM(state3!B35:J35)+SUM(state4!B35:G35)</f>
        <v>25920535.509999998</v>
      </c>
      <c r="D34" s="360">
        <v>12315195</v>
      </c>
      <c r="E34" s="247">
        <v>759513</v>
      </c>
      <c r="F34" s="306">
        <v>0</v>
      </c>
      <c r="G34" s="306">
        <v>0</v>
      </c>
      <c r="H34" s="243">
        <v>6421244</v>
      </c>
      <c r="I34" s="360">
        <v>2462696.79</v>
      </c>
    </row>
    <row r="35" spans="2:9" ht="12.75">
      <c r="B35" s="241"/>
      <c r="D35" s="308"/>
      <c r="E35" s="307"/>
      <c r="F35" s="241"/>
      <c r="G35" s="241"/>
      <c r="H35" s="308"/>
      <c r="I35" s="360"/>
    </row>
    <row r="36" spans="1:9" ht="12.75">
      <c r="A36" s="153" t="s">
        <v>21</v>
      </c>
      <c r="B36" s="239">
        <f>+C36+state5!B35+state5!F35+state5!J35</f>
        <v>13924989.509999998</v>
      </c>
      <c r="C36" s="252">
        <f>SUM(D36:I36)+SUM(state2!B36:I36)+SUM(state3!B37:J37)+SUM(state4!B37:G37)</f>
        <v>13813664.749999998</v>
      </c>
      <c r="D36" s="243">
        <v>4276713</v>
      </c>
      <c r="E36" s="306">
        <v>0</v>
      </c>
      <c r="F36" s="334">
        <v>0</v>
      </c>
      <c r="G36" s="334">
        <v>0</v>
      </c>
      <c r="H36" s="243">
        <v>3279105</v>
      </c>
      <c r="I36" s="360">
        <v>3108492.2</v>
      </c>
    </row>
    <row r="37" spans="1:9" ht="12.75">
      <c r="A37" s="153" t="s">
        <v>22</v>
      </c>
      <c r="B37" s="239">
        <f>+C37+state5!B36+state5!F36+state5!J36</f>
        <v>164722456.51</v>
      </c>
      <c r="C37" s="252">
        <f>SUM(D37:I37)+SUM(state2!B37:I37)+SUM(state3!B38:J38)+SUM(state4!B38:G38)</f>
        <v>154269452.88</v>
      </c>
      <c r="D37" s="243">
        <v>88158134</v>
      </c>
      <c r="E37" s="247">
        <v>3137102</v>
      </c>
      <c r="F37" s="334">
        <v>0</v>
      </c>
      <c r="G37" s="334">
        <v>0</v>
      </c>
      <c r="H37" s="243">
        <v>29772253</v>
      </c>
      <c r="I37" s="360">
        <v>15499001.16</v>
      </c>
    </row>
    <row r="38" spans="1:9" ht="12.75">
      <c r="A38" s="153" t="s">
        <v>23</v>
      </c>
      <c r="B38" s="239">
        <f>+C38+state5!B37+state5!F37+state5!J37</f>
        <v>138320801.01</v>
      </c>
      <c r="C38" s="252">
        <f>SUM(D38:I38)+SUM(state2!B38:I38)+SUM(state3!B39:J39)+SUM(state4!B39:G39)</f>
        <v>124948911.61</v>
      </c>
      <c r="D38" s="243">
        <v>63977413</v>
      </c>
      <c r="E38" s="247">
        <v>6759311</v>
      </c>
      <c r="F38" s="334">
        <v>0</v>
      </c>
      <c r="G38" s="334">
        <v>0</v>
      </c>
      <c r="H38" s="243">
        <v>29270482</v>
      </c>
      <c r="I38" s="360">
        <v>11520922.43</v>
      </c>
    </row>
    <row r="39" spans="1:9" ht="12.75">
      <c r="A39" s="154" t="s">
        <v>24</v>
      </c>
      <c r="B39" s="242">
        <f>+C39+state5!B38+state5!F38+state5!J38</f>
        <v>23854499.78</v>
      </c>
      <c r="C39" s="253">
        <f>SUM(D39:I39)+SUM(state2!B39:I39)+SUM(state3!B40:J40)+SUM(state4!B40:G40)</f>
        <v>23817936.43</v>
      </c>
      <c r="D39" s="370">
        <v>6343904</v>
      </c>
      <c r="E39" s="309">
        <v>0</v>
      </c>
      <c r="F39" s="335">
        <v>0</v>
      </c>
      <c r="G39" s="335">
        <v>0</v>
      </c>
      <c r="H39" s="370">
        <v>5658855</v>
      </c>
      <c r="I39" s="371">
        <v>6743258.81</v>
      </c>
    </row>
    <row r="40" spans="8:9" ht="12.75">
      <c r="H40" s="310"/>
      <c r="I40" s="248"/>
    </row>
    <row r="41" spans="2:9" ht="12.75">
      <c r="B41" s="311"/>
      <c r="C41" s="342"/>
      <c r="D41" s="339"/>
      <c r="E41" s="339"/>
      <c r="F41" s="343"/>
      <c r="G41" s="343"/>
      <c r="H41" s="343"/>
      <c r="I41" s="248"/>
    </row>
    <row r="42" spans="4:9" ht="12.75" customHeight="1">
      <c r="D42" s="424" t="s">
        <v>213</v>
      </c>
      <c r="G42" s="422" t="s">
        <v>297</v>
      </c>
      <c r="H42" s="431" t="s">
        <v>298</v>
      </c>
      <c r="I42" s="432" t="s">
        <v>299</v>
      </c>
    </row>
    <row r="43" spans="2:9" ht="12.75">
      <c r="B43" s="424" t="s">
        <v>174</v>
      </c>
      <c r="C43" s="424" t="s">
        <v>235</v>
      </c>
      <c r="D43" s="424"/>
      <c r="E43" s="424" t="s">
        <v>296</v>
      </c>
      <c r="F43" s="436" t="s">
        <v>243</v>
      </c>
      <c r="G43" s="429"/>
      <c r="H43" s="429"/>
      <c r="I43" s="432"/>
    </row>
    <row r="44" spans="2:9" ht="12.75">
      <c r="B44" s="426"/>
      <c r="C44" s="426"/>
      <c r="D44" s="424"/>
      <c r="E44" s="434"/>
      <c r="F44" s="437"/>
      <c r="G44" s="429"/>
      <c r="H44" s="429"/>
      <c r="I44" s="432"/>
    </row>
    <row r="45" spans="2:9" ht="12.75" customHeight="1" thickBot="1">
      <c r="B45" s="427"/>
      <c r="C45" s="427"/>
      <c r="D45" s="425"/>
      <c r="E45" s="435"/>
      <c r="F45" s="428"/>
      <c r="G45" s="430"/>
      <c r="H45" s="430"/>
      <c r="I45" s="433"/>
    </row>
    <row r="46" spans="2:9" ht="12.75">
      <c r="B46" s="316">
        <v>2764587576.27</v>
      </c>
      <c r="C46" s="316">
        <v>64261233</v>
      </c>
      <c r="D46" s="316">
        <v>914367170.01</v>
      </c>
      <c r="E46" s="316">
        <v>264537832.54999998</v>
      </c>
      <c r="F46" s="316">
        <v>143944626.99</v>
      </c>
      <c r="G46" s="316">
        <f>SUM(B46:F46)</f>
        <v>4151698438.8199997</v>
      </c>
      <c r="H46" s="45">
        <v>5275007046.369</v>
      </c>
      <c r="I46" s="391">
        <f>G46/H46</f>
        <v>0.7870507853971078</v>
      </c>
    </row>
    <row r="47" spans="8:9" ht="12.75">
      <c r="H47" s="310"/>
      <c r="I47" s="248"/>
    </row>
    <row r="48" spans="8:9" ht="12.75">
      <c r="H48" s="310"/>
      <c r="I48" s="248"/>
    </row>
    <row r="49" spans="8:9" ht="12.75">
      <c r="H49" s="310"/>
      <c r="I49" s="248"/>
    </row>
    <row r="50" spans="8:9" ht="12.75">
      <c r="H50" s="310"/>
      <c r="I50" s="248"/>
    </row>
    <row r="51" spans="8:9" ht="12.75">
      <c r="H51" s="310"/>
      <c r="I51" s="248"/>
    </row>
    <row r="52" spans="8:9" ht="12.75">
      <c r="H52" s="310"/>
      <c r="I52" s="248"/>
    </row>
    <row r="53" spans="8:9" ht="12.75">
      <c r="H53" s="312"/>
      <c r="I53" s="248"/>
    </row>
    <row r="54" ht="12.75">
      <c r="I54" s="248"/>
    </row>
    <row r="55" ht="12.75">
      <c r="I55" s="248"/>
    </row>
    <row r="56" ht="12.75">
      <c r="I56" s="248"/>
    </row>
    <row r="57" ht="12.75">
      <c r="I57" s="248"/>
    </row>
    <row r="58" ht="12.75">
      <c r="I58" s="248"/>
    </row>
    <row r="59" ht="12.75">
      <c r="I59" s="248"/>
    </row>
  </sheetData>
  <sheetProtection password="CAF5" sheet="1" objects="1" scenarios="1"/>
  <mergeCells count="17">
    <mergeCell ref="G42:G45"/>
    <mergeCell ref="H42:H45"/>
    <mergeCell ref="I42:I45"/>
    <mergeCell ref="B43:B45"/>
    <mergeCell ref="C43:C45"/>
    <mergeCell ref="D42:D45"/>
    <mergeCell ref="E43:E45"/>
    <mergeCell ref="F43:F45"/>
    <mergeCell ref="A1:I1"/>
    <mergeCell ref="A3:I3"/>
    <mergeCell ref="D5:I5"/>
    <mergeCell ref="I6:I9"/>
    <mergeCell ref="H6:H9"/>
    <mergeCell ref="D7:D9"/>
    <mergeCell ref="E7:E9"/>
    <mergeCell ref="F7:F9"/>
    <mergeCell ref="G8:G9"/>
  </mergeCells>
  <printOptions horizontalCentered="1"/>
  <pageMargins left="0.34" right="0.27" top="0.83" bottom="1" header="0.67" footer="0.5"/>
  <pageSetup fitToHeight="1" fitToWidth="1" horizontalDpi="600" verticalDpi="600" orientation="landscape" scale="91" r:id="rId1"/>
  <headerFooter scaleWithDoc="0" alignWithMargins="0">
    <oddFooter>&amp;L&amp;"Arial,Italic"MSDE - LFRO   10  / 2011&amp;C- 7 -&amp;R&amp;"Arial,Italic"Selected Financial Data-Part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0"/>
  <sheetViews>
    <sheetView zoomScalePageLayoutView="0" workbookViewId="0" topLeftCell="A7">
      <selection activeCell="G29" sqref="G29"/>
    </sheetView>
  </sheetViews>
  <sheetFormatPr defaultColWidth="9.140625" defaultRowHeight="12.75"/>
  <cols>
    <col min="1" max="1" width="14.140625" style="0" customWidth="1"/>
    <col min="2" max="2" width="1.57421875" style="270" customWidth="1"/>
    <col min="3" max="3" width="13.140625" style="270" customWidth="1"/>
    <col min="4" max="4" width="15.00390625" style="270" bestFit="1" customWidth="1"/>
    <col min="5" max="5" width="13.421875" style="270" customWidth="1"/>
    <col min="6" max="6" width="3.8515625" style="270" customWidth="1"/>
    <col min="7" max="7" width="16.421875" style="270" customWidth="1"/>
    <col min="8" max="8" width="15.421875" style="270" customWidth="1"/>
    <col min="9" max="9" width="13.57421875" style="264" customWidth="1"/>
    <col min="10" max="10" width="11.28125" style="0" bestFit="1" customWidth="1"/>
  </cols>
  <sheetData>
    <row r="1" spans="1:9" ht="12.75">
      <c r="A1" s="403" t="s">
        <v>122</v>
      </c>
      <c r="B1" s="403"/>
      <c r="C1" s="403"/>
      <c r="D1" s="403"/>
      <c r="E1" s="403"/>
      <c r="F1" s="403"/>
      <c r="G1" s="403"/>
      <c r="H1" s="403"/>
      <c r="I1" s="403"/>
    </row>
    <row r="3" spans="1:9" s="74" customFormat="1" ht="12.75">
      <c r="A3" s="398" t="s">
        <v>246</v>
      </c>
      <c r="B3" s="398"/>
      <c r="C3" s="398"/>
      <c r="D3" s="398"/>
      <c r="E3" s="398"/>
      <c r="F3" s="398"/>
      <c r="G3" s="398"/>
      <c r="H3" s="398"/>
      <c r="I3" s="398"/>
    </row>
    <row r="4" spans="2:9" ht="13.5" thickBot="1">
      <c r="B4" s="276"/>
      <c r="C4" s="276"/>
      <c r="D4" s="276"/>
      <c r="E4" s="276"/>
      <c r="F4" s="276"/>
      <c r="G4" s="276"/>
      <c r="H4" s="276"/>
      <c r="I4" s="276"/>
    </row>
    <row r="5" spans="1:9" ht="15" customHeight="1" thickTop="1">
      <c r="A5" s="6"/>
      <c r="B5" s="438"/>
      <c r="C5" s="438"/>
      <c r="D5" s="438"/>
      <c r="E5" s="438"/>
      <c r="F5" s="438"/>
      <c r="G5" s="438"/>
      <c r="H5" s="438"/>
      <c r="I5" s="438"/>
    </row>
    <row r="6" spans="1:16" ht="12.75" customHeight="1" thickBot="1">
      <c r="A6" s="3"/>
      <c r="B6" s="266"/>
      <c r="C6" s="441" t="s">
        <v>245</v>
      </c>
      <c r="D6" s="441"/>
      <c r="E6" s="441"/>
      <c r="F6" s="313"/>
      <c r="G6" s="443" t="s">
        <v>154</v>
      </c>
      <c r="H6" s="443"/>
      <c r="I6" s="443"/>
      <c r="J6" s="3"/>
      <c r="K6" s="3"/>
      <c r="L6" s="3"/>
      <c r="M6" s="3"/>
      <c r="N6" s="3"/>
      <c r="O6" s="3"/>
      <c r="P6" s="3"/>
    </row>
    <row r="7" spans="1:16" ht="12.75" customHeight="1">
      <c r="A7" s="3" t="s">
        <v>80</v>
      </c>
      <c r="B7" s="314"/>
      <c r="C7" s="271"/>
      <c r="D7" s="266"/>
      <c r="E7" s="442" t="s">
        <v>185</v>
      </c>
      <c r="G7" s="422" t="s">
        <v>164</v>
      </c>
      <c r="H7" s="436" t="s">
        <v>165</v>
      </c>
      <c r="I7" s="315" t="s">
        <v>172</v>
      </c>
      <c r="J7" s="3"/>
      <c r="K7" s="3"/>
      <c r="L7" s="3"/>
      <c r="M7" s="3"/>
      <c r="N7" s="3"/>
      <c r="O7" s="3"/>
      <c r="P7" s="3"/>
    </row>
    <row r="8" spans="1:9" ht="12.75">
      <c r="A8" s="3" t="s">
        <v>33</v>
      </c>
      <c r="B8" s="314"/>
      <c r="C8" s="271"/>
      <c r="D8" s="266" t="s">
        <v>28</v>
      </c>
      <c r="E8" s="439"/>
      <c r="G8" s="439"/>
      <c r="H8" s="440"/>
      <c r="I8" s="291" t="s">
        <v>173</v>
      </c>
    </row>
    <row r="9" spans="1:9" ht="13.5" thickBot="1">
      <c r="A9" s="7" t="s">
        <v>137</v>
      </c>
      <c r="B9" s="300"/>
      <c r="C9" s="267" t="s">
        <v>25</v>
      </c>
      <c r="D9" s="267" t="s">
        <v>29</v>
      </c>
      <c r="E9" s="433"/>
      <c r="G9" s="433"/>
      <c r="H9" s="425"/>
      <c r="I9" s="292"/>
    </row>
    <row r="10" spans="1:9" s="45" customFormat="1" ht="12.75">
      <c r="A10" s="49" t="s">
        <v>0</v>
      </c>
      <c r="B10" s="317">
        <f>SUM(B12:B39)</f>
        <v>0</v>
      </c>
      <c r="C10" s="317">
        <f>SUM(C12:C39)</f>
        <v>264537832.54999998</v>
      </c>
      <c r="D10" s="317">
        <f>SUM(D12:D39)</f>
        <v>100692192.21000001</v>
      </c>
      <c r="E10" s="317">
        <f>SUM(E12:E39)</f>
        <v>5254233.070000001</v>
      </c>
      <c r="F10" s="318"/>
      <c r="G10" s="317">
        <f>SUM(G12:G39)</f>
        <v>200553388</v>
      </c>
      <c r="H10" s="317">
        <f>SUM(H12:H39)</f>
        <v>24276999.990000002</v>
      </c>
      <c r="I10" s="317">
        <f>SUM(I12:I39)</f>
        <v>35000</v>
      </c>
    </row>
    <row r="11" spans="1:9" ht="12.75">
      <c r="A11" s="3"/>
      <c r="B11" s="250"/>
      <c r="C11" s="240"/>
      <c r="D11" s="240"/>
      <c r="E11" s="240"/>
      <c r="G11" s="248"/>
      <c r="H11" s="248"/>
      <c r="I11" s="248"/>
    </row>
    <row r="12" spans="1:9" ht="12.75">
      <c r="A12" t="s">
        <v>1</v>
      </c>
      <c r="B12" s="248"/>
      <c r="C12" s="236">
        <v>5735309</v>
      </c>
      <c r="D12" s="248">
        <v>1063950.8</v>
      </c>
      <c r="E12" s="248">
        <v>113864.25</v>
      </c>
      <c r="F12" s="248"/>
      <c r="G12" s="236">
        <v>3816843</v>
      </c>
      <c r="H12" s="248">
        <v>199000</v>
      </c>
      <c r="I12" s="248">
        <v>0</v>
      </c>
    </row>
    <row r="13" spans="1:10" ht="12.75">
      <c r="A13" t="s">
        <v>2</v>
      </c>
      <c r="B13" s="248"/>
      <c r="C13" s="236">
        <v>15872616</v>
      </c>
      <c r="D13" s="248">
        <v>7509188.2</v>
      </c>
      <c r="E13" s="248">
        <v>1172934.9500000002</v>
      </c>
      <c r="F13" s="248"/>
      <c r="G13" s="236">
        <v>17174325</v>
      </c>
      <c r="H13" s="248">
        <v>1661000</v>
      </c>
      <c r="I13" s="248">
        <v>0</v>
      </c>
      <c r="J13" s="1"/>
    </row>
    <row r="14" spans="1:9" ht="12.75">
      <c r="A14" t="s">
        <v>3</v>
      </c>
      <c r="B14" s="248"/>
      <c r="C14" s="236">
        <v>55421315</v>
      </c>
      <c r="D14" s="248">
        <v>22631273.64</v>
      </c>
      <c r="E14" s="248">
        <v>0</v>
      </c>
      <c r="F14" s="248"/>
      <c r="G14" s="236">
        <v>13810115</v>
      </c>
      <c r="H14" s="248">
        <v>3275000</v>
      </c>
      <c r="I14" s="248">
        <v>0</v>
      </c>
    </row>
    <row r="15" spans="1:9" ht="12.75">
      <c r="A15" t="s">
        <v>4</v>
      </c>
      <c r="B15" s="248"/>
      <c r="C15" s="236">
        <v>28280409</v>
      </c>
      <c r="D15" s="248">
        <v>14672242</v>
      </c>
      <c r="E15" s="248">
        <v>1756707.6099999999</v>
      </c>
      <c r="F15" s="248"/>
      <c r="G15" s="236">
        <v>21539152</v>
      </c>
      <c r="H15" s="248">
        <v>2947000</v>
      </c>
      <c r="I15" s="248">
        <v>0</v>
      </c>
    </row>
    <row r="16" spans="1:9" ht="12.75">
      <c r="A16" t="s">
        <v>5</v>
      </c>
      <c r="B16" s="248"/>
      <c r="C16" s="236">
        <v>4717478.53</v>
      </c>
      <c r="D16" s="248">
        <v>944356.62</v>
      </c>
      <c r="E16" s="248">
        <v>137378.6</v>
      </c>
      <c r="F16" s="248"/>
      <c r="G16" s="236">
        <v>4702141</v>
      </c>
      <c r="H16" s="248">
        <v>315000</v>
      </c>
      <c r="I16" s="248">
        <v>0</v>
      </c>
    </row>
    <row r="17" spans="2:9" ht="12.75">
      <c r="B17" s="248"/>
      <c r="C17" s="248"/>
      <c r="D17" s="248"/>
      <c r="E17" s="248"/>
      <c r="F17" s="248"/>
      <c r="G17" s="248"/>
      <c r="H17" s="248"/>
      <c r="I17" s="248"/>
    </row>
    <row r="18" spans="1:9" ht="12.75">
      <c r="A18" t="s">
        <v>6</v>
      </c>
      <c r="B18" s="248"/>
      <c r="C18" s="236">
        <v>1944146</v>
      </c>
      <c r="D18" s="248">
        <v>189571.11</v>
      </c>
      <c r="E18" s="248">
        <v>54927.57</v>
      </c>
      <c r="F18" s="248"/>
      <c r="G18" s="360">
        <v>2185626</v>
      </c>
      <c r="H18" s="360">
        <v>70000</v>
      </c>
      <c r="I18" s="248">
        <v>0</v>
      </c>
    </row>
    <row r="19" spans="1:9" ht="12.75">
      <c r="A19" t="s">
        <v>7</v>
      </c>
      <c r="B19" s="248"/>
      <c r="C19" s="236">
        <v>8272768</v>
      </c>
      <c r="D19" s="236">
        <v>3758414.27</v>
      </c>
      <c r="E19" s="248">
        <v>284550</v>
      </c>
      <c r="F19" s="248"/>
      <c r="G19" s="360">
        <v>8043328</v>
      </c>
      <c r="H19" s="360">
        <v>611000</v>
      </c>
      <c r="I19" s="236">
        <v>0</v>
      </c>
    </row>
    <row r="20" spans="1:9" ht="12.75">
      <c r="A20" t="s">
        <v>8</v>
      </c>
      <c r="B20" s="248"/>
      <c r="C20" s="236">
        <v>6122182</v>
      </c>
      <c r="D20" s="236">
        <v>1512993.59</v>
      </c>
      <c r="E20" s="248">
        <v>164935.79</v>
      </c>
      <c r="F20" s="248"/>
      <c r="G20" s="360">
        <v>4225086</v>
      </c>
      <c r="H20" s="360">
        <v>221000</v>
      </c>
      <c r="I20" s="248">
        <v>0</v>
      </c>
    </row>
    <row r="21" spans="1:9" ht="12.75">
      <c r="A21" t="s">
        <v>9</v>
      </c>
      <c r="B21" s="248"/>
      <c r="C21" s="236">
        <v>5859099</v>
      </c>
      <c r="D21" s="236">
        <v>1261649.32</v>
      </c>
      <c r="E21" s="248">
        <v>0</v>
      </c>
      <c r="F21" s="248"/>
      <c r="G21" s="360">
        <v>8570232</v>
      </c>
      <c r="H21" s="360">
        <v>474000</v>
      </c>
      <c r="I21" s="248">
        <v>0</v>
      </c>
    </row>
    <row r="22" spans="1:9" ht="12.75">
      <c r="A22" t="s">
        <v>10</v>
      </c>
      <c r="B22" s="248"/>
      <c r="C22" s="236">
        <v>967345.99</v>
      </c>
      <c r="D22" s="248">
        <v>43669.3</v>
      </c>
      <c r="E22" s="248">
        <v>32902.49</v>
      </c>
      <c r="F22" s="248"/>
      <c r="G22" s="360">
        <v>1991337</v>
      </c>
      <c r="H22" s="360">
        <v>85999.99</v>
      </c>
      <c r="I22" s="248">
        <v>0</v>
      </c>
    </row>
    <row r="23" spans="2:9" ht="12.75">
      <c r="B23" s="248"/>
      <c r="C23" s="248"/>
      <c r="D23" s="248"/>
      <c r="E23" s="248"/>
      <c r="F23" s="248"/>
      <c r="G23" s="248"/>
      <c r="H23" s="248"/>
      <c r="I23" s="248"/>
    </row>
    <row r="24" spans="1:9" ht="12.75">
      <c r="A24" t="s">
        <v>11</v>
      </c>
      <c r="B24" s="248"/>
      <c r="C24" s="236">
        <v>11426950.45</v>
      </c>
      <c r="D24" s="236">
        <v>2373979.94</v>
      </c>
      <c r="E24" s="248">
        <v>0</v>
      </c>
      <c r="F24" s="248"/>
      <c r="G24" s="236">
        <v>9660345</v>
      </c>
      <c r="H24" s="248">
        <v>884000</v>
      </c>
      <c r="I24" s="248">
        <v>0</v>
      </c>
    </row>
    <row r="25" spans="1:9" ht="12.75">
      <c r="A25" t="s">
        <v>12</v>
      </c>
      <c r="B25" s="248"/>
      <c r="C25" s="236">
        <v>1246620</v>
      </c>
      <c r="D25" s="236">
        <v>227872.02</v>
      </c>
      <c r="E25" s="248">
        <v>0</v>
      </c>
      <c r="F25" s="248"/>
      <c r="G25" s="236">
        <v>2540573</v>
      </c>
      <c r="H25" s="248">
        <v>46000</v>
      </c>
      <c r="I25" s="236">
        <v>0</v>
      </c>
    </row>
    <row r="26" spans="1:9" ht="12.75">
      <c r="A26" t="s">
        <v>13</v>
      </c>
      <c r="B26" s="248"/>
      <c r="C26" s="236">
        <v>12384621</v>
      </c>
      <c r="D26" s="236">
        <v>4502148</v>
      </c>
      <c r="E26" s="248">
        <v>0</v>
      </c>
      <c r="F26" s="248"/>
      <c r="G26" s="248">
        <v>10074679</v>
      </c>
      <c r="H26" s="248">
        <v>739000</v>
      </c>
      <c r="I26" s="248">
        <v>0</v>
      </c>
    </row>
    <row r="27" spans="1:9" ht="12.75">
      <c r="A27" t="s">
        <v>14</v>
      </c>
      <c r="B27" s="248"/>
      <c r="C27" s="236">
        <v>8257264</v>
      </c>
      <c r="D27" s="236">
        <v>2951436.0999999996</v>
      </c>
      <c r="E27" s="248">
        <v>446516.11</v>
      </c>
      <c r="F27" s="248"/>
      <c r="G27" s="236">
        <v>12383400</v>
      </c>
      <c r="H27" s="248">
        <v>1293000</v>
      </c>
      <c r="I27" s="248">
        <v>0</v>
      </c>
    </row>
    <row r="28" spans="1:9" ht="12.75">
      <c r="A28" t="s">
        <v>15</v>
      </c>
      <c r="B28" s="248"/>
      <c r="C28" s="236">
        <v>522123.97</v>
      </c>
      <c r="D28" s="248">
        <v>137396.7</v>
      </c>
      <c r="E28" s="248">
        <v>570702.52</v>
      </c>
      <c r="F28" s="248"/>
      <c r="G28" s="236">
        <v>1325922</v>
      </c>
      <c r="H28" s="248">
        <v>37000</v>
      </c>
      <c r="I28" s="248">
        <v>0</v>
      </c>
    </row>
    <row r="29" spans="1:9" ht="12.75">
      <c r="A29" s="1"/>
      <c r="B29" s="248"/>
      <c r="C29" s="248"/>
      <c r="D29" s="248"/>
      <c r="E29" s="248"/>
      <c r="F29" s="248"/>
      <c r="G29" s="248"/>
      <c r="H29" s="248"/>
      <c r="I29" s="248"/>
    </row>
    <row r="30" spans="1:9" ht="12.75">
      <c r="A30" t="s">
        <v>16</v>
      </c>
      <c r="B30" s="248"/>
      <c r="C30" s="236">
        <v>32778340</v>
      </c>
      <c r="D30" s="236">
        <v>10461098.75</v>
      </c>
      <c r="E30" s="248">
        <v>0</v>
      </c>
      <c r="F30" s="248"/>
      <c r="G30" s="236">
        <v>26458432</v>
      </c>
      <c r="H30" s="248">
        <v>4807000</v>
      </c>
      <c r="I30" s="248">
        <v>0</v>
      </c>
    </row>
    <row r="31" spans="1:9" ht="12.75">
      <c r="A31" t="s">
        <v>17</v>
      </c>
      <c r="B31" s="248"/>
      <c r="C31" s="236">
        <v>40276785.5</v>
      </c>
      <c r="D31" s="236">
        <v>24208660.85</v>
      </c>
      <c r="E31" s="248">
        <v>0</v>
      </c>
      <c r="F31" s="248"/>
      <c r="G31" s="236">
        <v>28784459</v>
      </c>
      <c r="H31" s="248">
        <v>5337000</v>
      </c>
      <c r="I31" s="248">
        <v>0</v>
      </c>
    </row>
    <row r="32" spans="1:9" ht="12.75">
      <c r="A32" t="s">
        <v>18</v>
      </c>
      <c r="B32" s="248"/>
      <c r="C32" s="236">
        <v>1805238</v>
      </c>
      <c r="D32" s="236">
        <v>198223.35</v>
      </c>
      <c r="E32" s="248">
        <v>76666.97</v>
      </c>
      <c r="F32" s="248"/>
      <c r="G32" s="236">
        <v>2882851</v>
      </c>
      <c r="H32" s="248">
        <v>0</v>
      </c>
      <c r="I32" s="248">
        <v>0</v>
      </c>
    </row>
    <row r="33" spans="1:9" ht="12.75">
      <c r="A33" t="s">
        <v>19</v>
      </c>
      <c r="B33" s="248"/>
      <c r="C33" s="236">
        <v>5709225.76</v>
      </c>
      <c r="D33" s="236">
        <v>833819.64</v>
      </c>
      <c r="E33" s="248">
        <v>0</v>
      </c>
      <c r="F33" s="248"/>
      <c r="G33" s="236">
        <v>5330598</v>
      </c>
      <c r="H33" s="248">
        <v>380000</v>
      </c>
      <c r="I33" s="248">
        <v>0</v>
      </c>
    </row>
    <row r="34" spans="1:9" ht="12.75">
      <c r="A34" t="s">
        <v>20</v>
      </c>
      <c r="B34" s="248"/>
      <c r="C34" s="236">
        <v>1282050</v>
      </c>
      <c r="D34" s="236">
        <v>0</v>
      </c>
      <c r="E34" s="248">
        <v>19336.5</v>
      </c>
      <c r="F34" s="248"/>
      <c r="G34" s="236">
        <v>1544909</v>
      </c>
      <c r="H34" s="248">
        <v>77000</v>
      </c>
      <c r="I34" s="248">
        <v>35000</v>
      </c>
    </row>
    <row r="35" spans="2:9" ht="12.75">
      <c r="B35" s="248"/>
      <c r="C35" s="236"/>
      <c r="D35" s="236"/>
      <c r="E35" s="248"/>
      <c r="F35" s="248"/>
      <c r="G35" s="248"/>
      <c r="H35" s="248"/>
      <c r="I35" s="248"/>
    </row>
    <row r="36" spans="1:9" ht="12.75">
      <c r="A36" t="s">
        <v>21</v>
      </c>
      <c r="B36" s="248"/>
      <c r="C36" s="236">
        <v>723284</v>
      </c>
      <c r="D36" s="236">
        <v>0</v>
      </c>
      <c r="E36" s="248">
        <v>54953</v>
      </c>
      <c r="F36" s="248"/>
      <c r="G36" s="236">
        <v>1345655</v>
      </c>
      <c r="H36" s="248">
        <v>13000</v>
      </c>
      <c r="I36" s="248">
        <v>0</v>
      </c>
    </row>
    <row r="37" spans="1:9" ht="12.75">
      <c r="A37" t="s">
        <v>22</v>
      </c>
      <c r="B37" s="248"/>
      <c r="C37" s="236">
        <v>7569302</v>
      </c>
      <c r="D37" s="236">
        <v>1177932.4</v>
      </c>
      <c r="E37" s="248">
        <v>183469.2</v>
      </c>
      <c r="F37" s="248"/>
      <c r="G37" s="236">
        <v>5628391</v>
      </c>
      <c r="H37" s="236">
        <v>408000</v>
      </c>
      <c r="I37" s="236">
        <v>0</v>
      </c>
    </row>
    <row r="38" spans="1:9" ht="12.75">
      <c r="A38" t="s">
        <v>23</v>
      </c>
      <c r="B38" s="248"/>
      <c r="C38" s="236">
        <v>6047577.35</v>
      </c>
      <c r="D38" s="236">
        <v>32315.61</v>
      </c>
      <c r="E38" s="248">
        <v>141133.03</v>
      </c>
      <c r="F38" s="248"/>
      <c r="G38" s="236">
        <v>4006438</v>
      </c>
      <c r="H38" s="248">
        <v>330000</v>
      </c>
      <c r="I38" s="248">
        <v>0</v>
      </c>
    </row>
    <row r="39" spans="1:9" ht="12.75">
      <c r="A39" s="12" t="s">
        <v>24</v>
      </c>
      <c r="B39" s="230"/>
      <c r="C39" s="230">
        <v>1315782</v>
      </c>
      <c r="D39" s="230">
        <v>0</v>
      </c>
      <c r="E39" s="230">
        <v>43254.479999999996</v>
      </c>
      <c r="F39" s="230"/>
      <c r="G39" s="358">
        <v>2528551</v>
      </c>
      <c r="H39" s="230">
        <v>67000</v>
      </c>
      <c r="I39" s="230">
        <v>0</v>
      </c>
    </row>
    <row r="40" spans="2:8" ht="12.75">
      <c r="B40" s="248"/>
      <c r="H40" s="248"/>
    </row>
    <row r="41" spans="2:8" ht="12.75">
      <c r="B41" s="248"/>
      <c r="F41" s="320"/>
      <c r="H41" s="248"/>
    </row>
    <row r="42" spans="2:8" ht="12.75">
      <c r="B42" s="248"/>
      <c r="D42" s="238"/>
      <c r="H42" s="248"/>
    </row>
    <row r="43" spans="2:8" ht="12.75">
      <c r="B43" s="248"/>
      <c r="H43" s="248"/>
    </row>
    <row r="44" spans="2:8" ht="12.75">
      <c r="B44" s="248"/>
      <c r="H44" s="248"/>
    </row>
    <row r="45" ht="12.75">
      <c r="H45" s="248"/>
    </row>
    <row r="46" ht="12.75">
      <c r="H46" s="248"/>
    </row>
    <row r="47" ht="12.75">
      <c r="H47" s="248"/>
    </row>
    <row r="48" ht="12.75">
      <c r="H48" s="248"/>
    </row>
    <row r="49" ht="12.75">
      <c r="H49" s="248"/>
    </row>
    <row r="50" ht="12.75">
      <c r="H50" s="248"/>
    </row>
    <row r="51" ht="12.75">
      <c r="H51" s="248"/>
    </row>
    <row r="52" ht="12.75">
      <c r="H52" s="248"/>
    </row>
    <row r="53" ht="12.75">
      <c r="H53" s="248"/>
    </row>
    <row r="54" ht="12.75">
      <c r="H54" s="248"/>
    </row>
    <row r="55" ht="12.75">
      <c r="H55" s="248"/>
    </row>
    <row r="56" ht="12.75">
      <c r="H56" s="248"/>
    </row>
    <row r="57" ht="12.75">
      <c r="H57" s="248"/>
    </row>
    <row r="58" ht="12.75">
      <c r="H58" s="248"/>
    </row>
    <row r="59" ht="12.75">
      <c r="H59" s="248"/>
    </row>
    <row r="60" ht="12.75">
      <c r="H60" s="248"/>
    </row>
    <row r="61" ht="12.75">
      <c r="H61" s="248"/>
    </row>
    <row r="62" ht="12.75">
      <c r="H62" s="248"/>
    </row>
    <row r="63" ht="12.75">
      <c r="H63" s="248"/>
    </row>
    <row r="64" ht="12.75">
      <c r="H64" s="248"/>
    </row>
    <row r="65" ht="12.75">
      <c r="H65" s="248"/>
    </row>
    <row r="66" ht="12.75">
      <c r="H66" s="248"/>
    </row>
    <row r="67" ht="12.75">
      <c r="H67" s="248"/>
    </row>
    <row r="68" ht="12.75">
      <c r="H68" s="248"/>
    </row>
    <row r="69" ht="12.75">
      <c r="H69" s="248"/>
    </row>
    <row r="70" ht="12.75">
      <c r="H70" s="248"/>
    </row>
    <row r="71" ht="12.75">
      <c r="H71" s="248"/>
    </row>
    <row r="72" ht="12.75">
      <c r="H72" s="248"/>
    </row>
    <row r="73" ht="12.75">
      <c r="H73" s="248"/>
    </row>
    <row r="74" ht="12.75">
      <c r="H74" s="248"/>
    </row>
    <row r="75" ht="12.75">
      <c r="H75" s="248"/>
    </row>
    <row r="76" ht="12.75">
      <c r="H76" s="248"/>
    </row>
    <row r="77" ht="12.75">
      <c r="H77" s="248"/>
    </row>
    <row r="78" ht="12.75">
      <c r="H78" s="248"/>
    </row>
    <row r="79" ht="12.75">
      <c r="H79" s="248"/>
    </row>
    <row r="80" ht="12.75">
      <c r="H80" s="248"/>
    </row>
    <row r="81" ht="12.75">
      <c r="H81" s="248"/>
    </row>
    <row r="82" ht="12.75">
      <c r="H82" s="248"/>
    </row>
    <row r="83" ht="12.75">
      <c r="H83" s="248"/>
    </row>
    <row r="84" ht="12.75">
      <c r="H84" s="248"/>
    </row>
    <row r="85" ht="12.75">
      <c r="H85" s="248"/>
    </row>
    <row r="86" ht="12.75">
      <c r="H86" s="248"/>
    </row>
    <row r="87" ht="12.75">
      <c r="H87" s="248"/>
    </row>
    <row r="88" ht="12.75">
      <c r="H88" s="248"/>
    </row>
    <row r="89" ht="12.75">
      <c r="H89" s="248"/>
    </row>
    <row r="90" ht="12.75">
      <c r="H90" s="248"/>
    </row>
    <row r="91" ht="12.75">
      <c r="H91" s="248"/>
    </row>
    <row r="92" ht="12.75">
      <c r="H92" s="248"/>
    </row>
    <row r="93" ht="12.75">
      <c r="H93" s="248"/>
    </row>
    <row r="94" ht="12.75">
      <c r="H94" s="248"/>
    </row>
    <row r="95" ht="12.75">
      <c r="H95" s="248"/>
    </row>
    <row r="96" ht="12.75">
      <c r="H96" s="248"/>
    </row>
    <row r="97" ht="12.75">
      <c r="H97" s="248"/>
    </row>
    <row r="98" ht="12.75">
      <c r="H98" s="248"/>
    </row>
    <row r="99" ht="12.75">
      <c r="H99" s="248"/>
    </row>
    <row r="100" ht="12.75">
      <c r="H100" s="248"/>
    </row>
    <row r="101" ht="12.75">
      <c r="H101" s="248"/>
    </row>
    <row r="102" ht="12.75">
      <c r="H102" s="248"/>
    </row>
    <row r="103" ht="12.75">
      <c r="H103" s="248"/>
    </row>
    <row r="104" ht="12.75">
      <c r="H104" s="248"/>
    </row>
    <row r="105" ht="12.75">
      <c r="H105" s="248"/>
    </row>
    <row r="106" ht="12.75">
      <c r="H106" s="248"/>
    </row>
    <row r="107" ht="12.75">
      <c r="H107" s="248"/>
    </row>
    <row r="108" ht="12.75">
      <c r="H108" s="248"/>
    </row>
    <row r="109" ht="12.75">
      <c r="H109" s="248"/>
    </row>
    <row r="110" ht="12.75">
      <c r="H110" s="248"/>
    </row>
    <row r="111" ht="12.75">
      <c r="H111" s="248"/>
    </row>
    <row r="112" ht="12.75">
      <c r="H112" s="248"/>
    </row>
    <row r="113" ht="12.75">
      <c r="H113" s="248"/>
    </row>
    <row r="114" ht="12.75">
      <c r="H114" s="248"/>
    </row>
    <row r="115" ht="12.75">
      <c r="H115" s="248"/>
    </row>
    <row r="116" ht="12.75">
      <c r="H116" s="248"/>
    </row>
    <row r="117" ht="12.75">
      <c r="H117" s="248"/>
    </row>
    <row r="118" ht="12.75">
      <c r="H118" s="248"/>
    </row>
    <row r="119" ht="12.75">
      <c r="H119" s="248"/>
    </row>
    <row r="120" ht="12.75">
      <c r="H120" s="248"/>
    </row>
    <row r="121" ht="12.75">
      <c r="H121" s="248"/>
    </row>
    <row r="122" ht="12.75">
      <c r="H122" s="248"/>
    </row>
    <row r="123" ht="12.75">
      <c r="H123" s="248"/>
    </row>
    <row r="124" ht="12.75">
      <c r="H124" s="248"/>
    </row>
    <row r="125" ht="12.75">
      <c r="H125" s="248"/>
    </row>
    <row r="126" ht="12.75">
      <c r="H126" s="248"/>
    </row>
    <row r="127" ht="12.75">
      <c r="H127" s="248"/>
    </row>
    <row r="128" ht="12.75">
      <c r="H128" s="248"/>
    </row>
    <row r="129" ht="12.75">
      <c r="H129" s="248"/>
    </row>
    <row r="130" ht="12.75">
      <c r="H130" s="248"/>
    </row>
    <row r="131" ht="12.75">
      <c r="H131" s="248"/>
    </row>
    <row r="132" ht="12.75">
      <c r="H132" s="248"/>
    </row>
    <row r="133" ht="12.75">
      <c r="H133" s="248"/>
    </row>
    <row r="134" ht="12.75">
      <c r="H134" s="248"/>
    </row>
    <row r="135" ht="12.75">
      <c r="H135" s="248"/>
    </row>
    <row r="136" ht="12.75">
      <c r="H136" s="248"/>
    </row>
    <row r="137" ht="12.75">
      <c r="H137" s="248"/>
    </row>
    <row r="138" ht="12.75">
      <c r="H138" s="248"/>
    </row>
    <row r="139" ht="12.75">
      <c r="H139" s="248"/>
    </row>
    <row r="140" ht="12.75">
      <c r="H140" s="248"/>
    </row>
    <row r="141" ht="12.75">
      <c r="H141" s="248"/>
    </row>
    <row r="142" ht="12.75">
      <c r="H142" s="248"/>
    </row>
    <row r="143" ht="12.75">
      <c r="H143" s="248"/>
    </row>
    <row r="144" ht="12.75">
      <c r="H144" s="248"/>
    </row>
    <row r="145" ht="12.75">
      <c r="H145" s="248"/>
    </row>
    <row r="146" ht="12.75">
      <c r="H146" s="248"/>
    </row>
    <row r="147" ht="12.75">
      <c r="H147" s="248"/>
    </row>
    <row r="148" ht="12.75">
      <c r="H148" s="248"/>
    </row>
    <row r="149" ht="12.75">
      <c r="H149" s="248"/>
    </row>
    <row r="150" ht="12.75">
      <c r="H150" s="248"/>
    </row>
    <row r="151" ht="12.75">
      <c r="H151" s="248"/>
    </row>
    <row r="152" ht="12.75">
      <c r="H152" s="248"/>
    </row>
    <row r="153" ht="12.75">
      <c r="H153" s="248"/>
    </row>
    <row r="154" ht="12.75">
      <c r="H154" s="248"/>
    </row>
    <row r="155" ht="12.75">
      <c r="H155" s="248"/>
    </row>
    <row r="156" ht="12.75">
      <c r="H156" s="248"/>
    </row>
    <row r="157" ht="12.75">
      <c r="H157" s="248"/>
    </row>
    <row r="158" ht="12.75">
      <c r="H158" s="248"/>
    </row>
    <row r="159" ht="12.75">
      <c r="H159" s="248"/>
    </row>
    <row r="160" ht="12.75">
      <c r="H160" s="248"/>
    </row>
    <row r="161" ht="12.75">
      <c r="H161" s="248"/>
    </row>
    <row r="162" ht="12.75">
      <c r="H162" s="248"/>
    </row>
    <row r="163" ht="12.75">
      <c r="H163" s="248"/>
    </row>
    <row r="164" ht="12.75">
      <c r="H164" s="248"/>
    </row>
    <row r="165" ht="12.75">
      <c r="H165" s="248"/>
    </row>
    <row r="166" ht="12.75">
      <c r="H166" s="248"/>
    </row>
    <row r="167" ht="12.75">
      <c r="H167" s="248"/>
    </row>
    <row r="168" ht="12.75">
      <c r="H168" s="248"/>
    </row>
    <row r="169" ht="12.75">
      <c r="H169" s="248"/>
    </row>
    <row r="170" ht="12.75">
      <c r="H170" s="248"/>
    </row>
    <row r="171" ht="12.75">
      <c r="H171" s="248"/>
    </row>
    <row r="172" ht="12.75">
      <c r="H172" s="248"/>
    </row>
    <row r="173" ht="12.75">
      <c r="H173" s="248"/>
    </row>
    <row r="174" ht="12.75">
      <c r="H174" s="248"/>
    </row>
    <row r="175" ht="12.75">
      <c r="H175" s="248"/>
    </row>
    <row r="176" ht="12.75">
      <c r="H176" s="248"/>
    </row>
    <row r="177" ht="12.75">
      <c r="H177" s="248"/>
    </row>
    <row r="178" ht="12.75">
      <c r="H178" s="248"/>
    </row>
    <row r="179" ht="12.75">
      <c r="H179" s="248"/>
    </row>
    <row r="180" ht="12.75">
      <c r="H180" s="248"/>
    </row>
    <row r="181" ht="12.75">
      <c r="H181" s="248"/>
    </row>
    <row r="182" ht="12.75">
      <c r="H182" s="248"/>
    </row>
    <row r="183" ht="12.75">
      <c r="H183" s="248"/>
    </row>
    <row r="184" ht="12.75">
      <c r="H184" s="248"/>
    </row>
    <row r="185" ht="12.75">
      <c r="H185" s="248"/>
    </row>
    <row r="186" ht="12.75">
      <c r="H186" s="248"/>
    </row>
    <row r="187" ht="12.75">
      <c r="H187" s="248"/>
    </row>
    <row r="188" ht="12.75">
      <c r="H188" s="248"/>
    </row>
    <row r="189" ht="12.75">
      <c r="H189" s="248"/>
    </row>
    <row r="190" ht="12.75">
      <c r="H190" s="248"/>
    </row>
    <row r="191" ht="12.75">
      <c r="H191" s="248"/>
    </row>
    <row r="192" ht="12.75">
      <c r="H192" s="248"/>
    </row>
    <row r="193" ht="12.75">
      <c r="H193" s="248"/>
    </row>
    <row r="194" ht="12.75">
      <c r="H194" s="248"/>
    </row>
    <row r="195" ht="12.75">
      <c r="H195" s="248"/>
    </row>
    <row r="196" ht="12.75">
      <c r="H196" s="248"/>
    </row>
    <row r="197" ht="12.75">
      <c r="H197" s="248"/>
    </row>
    <row r="198" ht="12.75">
      <c r="H198" s="248"/>
    </row>
    <row r="199" ht="12.75">
      <c r="H199" s="248"/>
    </row>
    <row r="200" ht="12.75">
      <c r="H200" s="248"/>
    </row>
    <row r="201" ht="12.75">
      <c r="H201" s="248"/>
    </row>
    <row r="202" ht="12.75">
      <c r="H202" s="248"/>
    </row>
    <row r="203" ht="12.75">
      <c r="H203" s="248"/>
    </row>
    <row r="204" ht="12.75">
      <c r="H204" s="248"/>
    </row>
    <row r="205" ht="12.75">
      <c r="H205" s="248"/>
    </row>
    <row r="206" ht="12.75">
      <c r="H206" s="248"/>
    </row>
    <row r="207" ht="12.75">
      <c r="H207" s="248"/>
    </row>
    <row r="208" ht="12.75">
      <c r="H208" s="248"/>
    </row>
    <row r="209" ht="12.75">
      <c r="H209" s="248"/>
    </row>
    <row r="210" ht="12.75">
      <c r="H210" s="248"/>
    </row>
    <row r="211" ht="12.75">
      <c r="H211" s="248"/>
    </row>
    <row r="212" ht="12.75">
      <c r="H212" s="248"/>
    </row>
    <row r="213" ht="12.75">
      <c r="H213" s="248"/>
    </row>
    <row r="214" ht="12.75">
      <c r="H214" s="248"/>
    </row>
    <row r="215" ht="12.75">
      <c r="H215" s="248"/>
    </row>
    <row r="216" ht="12.75">
      <c r="H216" s="248"/>
    </row>
    <row r="217" ht="12.75">
      <c r="H217" s="248"/>
    </row>
    <row r="218" ht="12.75">
      <c r="H218" s="248"/>
    </row>
    <row r="219" ht="12.75">
      <c r="H219" s="248"/>
    </row>
    <row r="220" ht="12.75">
      <c r="H220" s="248"/>
    </row>
    <row r="221" ht="12.75">
      <c r="H221" s="248"/>
    </row>
    <row r="222" ht="12.75">
      <c r="H222" s="248"/>
    </row>
    <row r="223" ht="12.75">
      <c r="H223" s="248"/>
    </row>
    <row r="224" ht="12.75">
      <c r="H224" s="248"/>
    </row>
    <row r="225" ht="12.75">
      <c r="H225" s="248"/>
    </row>
    <row r="226" ht="12.75">
      <c r="H226" s="248"/>
    </row>
    <row r="227" ht="12.75">
      <c r="H227" s="248"/>
    </row>
    <row r="228" ht="12.75">
      <c r="H228" s="248"/>
    </row>
    <row r="229" ht="12.75">
      <c r="H229" s="248"/>
    </row>
    <row r="230" ht="12.75">
      <c r="H230" s="248"/>
    </row>
    <row r="231" ht="12.75">
      <c r="H231" s="248"/>
    </row>
    <row r="232" ht="12.75">
      <c r="H232" s="248"/>
    </row>
    <row r="233" ht="12.75">
      <c r="H233" s="248"/>
    </row>
    <row r="234" ht="12.75">
      <c r="H234" s="248"/>
    </row>
    <row r="235" ht="12.75">
      <c r="H235" s="248"/>
    </row>
    <row r="236" ht="12.75">
      <c r="H236" s="248"/>
    </row>
    <row r="237" ht="12.75">
      <c r="H237" s="248"/>
    </row>
    <row r="238" ht="12.75">
      <c r="H238" s="248"/>
    </row>
    <row r="239" ht="12.75">
      <c r="H239" s="248"/>
    </row>
    <row r="240" ht="12.75">
      <c r="H240" s="248"/>
    </row>
    <row r="241" ht="12.75">
      <c r="H241" s="248"/>
    </row>
    <row r="242" ht="12.75">
      <c r="H242" s="248"/>
    </row>
    <row r="243" ht="12.75">
      <c r="H243" s="248"/>
    </row>
    <row r="244" ht="12.75">
      <c r="H244" s="248"/>
    </row>
    <row r="245" ht="12.75">
      <c r="H245" s="248"/>
    </row>
    <row r="246" ht="12.75">
      <c r="H246" s="248"/>
    </row>
    <row r="247" ht="12.75">
      <c r="H247" s="248"/>
    </row>
    <row r="248" ht="12.75">
      <c r="H248" s="248"/>
    </row>
    <row r="249" ht="12.75">
      <c r="H249" s="248"/>
    </row>
    <row r="250" ht="12.75">
      <c r="H250" s="248"/>
    </row>
    <row r="251" ht="12.75">
      <c r="H251" s="248"/>
    </row>
    <row r="252" ht="12.75">
      <c r="H252" s="248"/>
    </row>
    <row r="253" ht="12.75">
      <c r="H253" s="248"/>
    </row>
    <row r="254" ht="12.75">
      <c r="H254" s="248"/>
    </row>
    <row r="255" ht="12.75">
      <c r="H255" s="248"/>
    </row>
    <row r="256" ht="12.75">
      <c r="H256" s="248"/>
    </row>
    <row r="257" ht="12.75">
      <c r="H257" s="248"/>
    </row>
    <row r="258" ht="12.75">
      <c r="H258" s="248"/>
    </row>
    <row r="259" ht="12.75">
      <c r="H259" s="248"/>
    </row>
    <row r="260" ht="12.75">
      <c r="H260" s="248"/>
    </row>
    <row r="261" ht="12.75">
      <c r="H261" s="248"/>
    </row>
    <row r="262" ht="12.75">
      <c r="H262" s="248"/>
    </row>
    <row r="263" ht="12.75">
      <c r="H263" s="248"/>
    </row>
    <row r="264" ht="12.75">
      <c r="H264" s="248"/>
    </row>
    <row r="265" ht="12.75">
      <c r="H265" s="248"/>
    </row>
    <row r="266" ht="12.75">
      <c r="H266" s="248"/>
    </row>
    <row r="267" ht="12.75">
      <c r="H267" s="248"/>
    </row>
    <row r="268" ht="12.75">
      <c r="H268" s="248"/>
    </row>
    <row r="269" ht="12.75">
      <c r="H269" s="248"/>
    </row>
    <row r="270" ht="12.75">
      <c r="H270" s="248"/>
    </row>
    <row r="271" ht="12.75">
      <c r="H271" s="248"/>
    </row>
    <row r="272" ht="12.75">
      <c r="H272" s="248"/>
    </row>
    <row r="273" ht="12.75">
      <c r="H273" s="248"/>
    </row>
    <row r="274" ht="12.75">
      <c r="H274" s="248"/>
    </row>
    <row r="275" ht="12.75">
      <c r="H275" s="248"/>
    </row>
    <row r="276" ht="12.75">
      <c r="H276" s="248"/>
    </row>
    <row r="277" ht="12.75">
      <c r="H277" s="248"/>
    </row>
    <row r="278" ht="12.75">
      <c r="H278" s="248"/>
    </row>
    <row r="279" ht="12.75">
      <c r="H279" s="248"/>
    </row>
    <row r="280" ht="12.75">
      <c r="H280" s="248"/>
    </row>
    <row r="281" ht="12.75">
      <c r="H281" s="248"/>
    </row>
    <row r="282" ht="12.75">
      <c r="H282" s="248"/>
    </row>
    <row r="283" ht="12.75">
      <c r="H283" s="248"/>
    </row>
    <row r="284" ht="12.75">
      <c r="H284" s="248"/>
    </row>
    <row r="285" ht="12.75">
      <c r="H285" s="248"/>
    </row>
    <row r="286" ht="12.75">
      <c r="H286" s="248"/>
    </row>
    <row r="287" ht="12.75">
      <c r="H287" s="248"/>
    </row>
    <row r="288" ht="12.75">
      <c r="H288" s="248"/>
    </row>
    <row r="289" ht="12.75">
      <c r="H289" s="248"/>
    </row>
    <row r="290" ht="12.75">
      <c r="H290" s="248"/>
    </row>
    <row r="291" ht="12.75">
      <c r="H291" s="248"/>
    </row>
    <row r="292" ht="12.75">
      <c r="H292" s="248"/>
    </row>
    <row r="293" ht="12.75">
      <c r="H293" s="248"/>
    </row>
    <row r="294" ht="12.75">
      <c r="H294" s="248"/>
    </row>
    <row r="295" ht="12.75">
      <c r="H295" s="248"/>
    </row>
    <row r="296" ht="12.75">
      <c r="H296" s="248"/>
    </row>
    <row r="297" ht="12.75">
      <c r="H297" s="248"/>
    </row>
    <row r="298" ht="12.75">
      <c r="H298" s="248"/>
    </row>
    <row r="299" ht="12.75">
      <c r="H299" s="248"/>
    </row>
    <row r="300" ht="12.75">
      <c r="H300" s="248"/>
    </row>
    <row r="301" ht="12.75">
      <c r="H301" s="248"/>
    </row>
    <row r="302" ht="12.75">
      <c r="H302" s="248"/>
    </row>
    <row r="303" ht="12.75">
      <c r="H303" s="248"/>
    </row>
    <row r="304" ht="12.75">
      <c r="H304" s="248"/>
    </row>
    <row r="305" ht="12.75">
      <c r="H305" s="248"/>
    </row>
    <row r="306" ht="12.75">
      <c r="H306" s="248"/>
    </row>
    <row r="307" ht="12.75">
      <c r="H307" s="248"/>
    </row>
    <row r="308" ht="12.75">
      <c r="H308" s="248"/>
    </row>
    <row r="309" ht="12.75">
      <c r="H309" s="248"/>
    </row>
    <row r="310" ht="12.75">
      <c r="H310" s="248"/>
    </row>
    <row r="311" ht="12.75">
      <c r="H311" s="248"/>
    </row>
    <row r="312" ht="12.75">
      <c r="H312" s="248"/>
    </row>
    <row r="313" ht="12.75">
      <c r="H313" s="248"/>
    </row>
    <row r="314" ht="12.75">
      <c r="H314" s="248"/>
    </row>
    <row r="315" ht="12.75">
      <c r="H315" s="248"/>
    </row>
    <row r="316" ht="12.75">
      <c r="H316" s="248"/>
    </row>
    <row r="317" ht="12.75">
      <c r="H317" s="248"/>
    </row>
    <row r="318" ht="12.75">
      <c r="H318" s="248"/>
    </row>
    <row r="319" ht="12.75">
      <c r="H319" s="248"/>
    </row>
    <row r="320" ht="12.75">
      <c r="H320" s="248"/>
    </row>
    <row r="321" ht="12.75">
      <c r="H321" s="248"/>
    </row>
    <row r="322" ht="12.75">
      <c r="H322" s="248"/>
    </row>
    <row r="323" ht="12.75">
      <c r="H323" s="248"/>
    </row>
    <row r="324" ht="12.75">
      <c r="H324" s="248"/>
    </row>
    <row r="325" ht="12.75">
      <c r="H325" s="248"/>
    </row>
    <row r="326" ht="12.75">
      <c r="H326" s="248"/>
    </row>
    <row r="327" ht="12.75">
      <c r="H327" s="248"/>
    </row>
    <row r="328" ht="12.75">
      <c r="H328" s="248"/>
    </row>
    <row r="329" ht="12.75">
      <c r="H329" s="248"/>
    </row>
    <row r="330" ht="12.75">
      <c r="H330" s="248"/>
    </row>
    <row r="331" ht="12.75">
      <c r="H331" s="248"/>
    </row>
    <row r="332" ht="12.75">
      <c r="H332" s="248"/>
    </row>
    <row r="333" ht="12.75">
      <c r="H333" s="248"/>
    </row>
    <row r="334" ht="12.75">
      <c r="H334" s="248"/>
    </row>
    <row r="335" ht="12.75">
      <c r="H335" s="248"/>
    </row>
    <row r="336" ht="12.75">
      <c r="H336" s="248"/>
    </row>
    <row r="337" ht="12.75">
      <c r="H337" s="248"/>
    </row>
    <row r="338" ht="12.75">
      <c r="H338" s="248"/>
    </row>
    <row r="339" ht="12.75">
      <c r="H339" s="248"/>
    </row>
    <row r="340" ht="12.75">
      <c r="H340" s="248"/>
    </row>
  </sheetData>
  <sheetProtection password="CAF5" sheet="1" objects="1" scenarios="1"/>
  <mergeCells count="8">
    <mergeCell ref="A1:I1"/>
    <mergeCell ref="A3:I3"/>
    <mergeCell ref="B5:I5"/>
    <mergeCell ref="G7:G9"/>
    <mergeCell ref="H7:H9"/>
    <mergeCell ref="C6:E6"/>
    <mergeCell ref="E7:E9"/>
    <mergeCell ref="G6:I6"/>
  </mergeCells>
  <printOptions horizontalCentered="1"/>
  <pageMargins left="0.68" right="0.61" top="0.83" bottom="1" header="0.67" footer="0.5"/>
  <pageSetup fitToHeight="1" fitToWidth="1" horizontalDpi="600" verticalDpi="600" orientation="landscape" scale="98" r:id="rId1"/>
  <headerFooter scaleWithDoc="0" alignWithMargins="0">
    <oddFooter>&amp;L&amp;"Arial,Italic"MSDE - LFRO   10  / 2011&amp;C- 8 -&amp;R&amp;"Arial,Italic"Selected Financial Data-Part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PageLayoutView="0" workbookViewId="0" topLeftCell="A13">
      <selection activeCell="F43" sqref="F43"/>
    </sheetView>
  </sheetViews>
  <sheetFormatPr defaultColWidth="9.140625" defaultRowHeight="12.75"/>
  <cols>
    <col min="1" max="1" width="14.140625" style="0" customWidth="1"/>
    <col min="2" max="2" width="14.140625" style="264" customWidth="1"/>
    <col min="3" max="3" width="12.57421875" style="270" customWidth="1"/>
    <col min="4" max="4" width="13.28125" style="270" customWidth="1"/>
    <col min="5" max="5" width="12.140625" style="264" customWidth="1"/>
    <col min="6" max="6" width="11.8515625" style="264" customWidth="1"/>
    <col min="7" max="7" width="11.28125" style="264" bestFit="1" customWidth="1"/>
    <col min="8" max="8" width="2.8515625" style="264" customWidth="1"/>
    <col min="9" max="9" width="12.421875" style="0" bestFit="1" customWidth="1"/>
    <col min="10" max="10" width="13.8515625" style="0" bestFit="1" customWidth="1"/>
  </cols>
  <sheetData>
    <row r="1" spans="1:8" ht="12.75">
      <c r="A1" s="403" t="s">
        <v>122</v>
      </c>
      <c r="B1" s="403"/>
      <c r="C1" s="403"/>
      <c r="D1" s="403"/>
      <c r="E1" s="403"/>
      <c r="F1" s="403"/>
      <c r="G1" s="403"/>
      <c r="H1" s="348"/>
    </row>
    <row r="2" spans="1:4" ht="12.75">
      <c r="A2" s="19"/>
      <c r="B2" s="272"/>
      <c r="C2" s="321"/>
      <c r="D2" s="321"/>
    </row>
    <row r="3" spans="1:8" s="57" customFormat="1" ht="12.75">
      <c r="A3" s="410" t="s">
        <v>246</v>
      </c>
      <c r="B3" s="445"/>
      <c r="C3" s="445"/>
      <c r="D3" s="445"/>
      <c r="E3" s="445"/>
      <c r="F3" s="445"/>
      <c r="G3" s="445"/>
      <c r="H3" s="349"/>
    </row>
    <row r="4" spans="1:10" ht="13.5" thickBot="1">
      <c r="A4" s="11"/>
      <c r="B4" s="259"/>
      <c r="C4" s="276"/>
      <c r="D4" s="276"/>
      <c r="E4" s="276"/>
      <c r="F4" s="276"/>
      <c r="G4" s="276"/>
      <c r="H4" s="276"/>
      <c r="I4" s="11"/>
      <c r="J4" s="11"/>
    </row>
    <row r="5" spans="2:10" ht="15" customHeight="1" thickTop="1">
      <c r="B5" s="444" t="s">
        <v>47</v>
      </c>
      <c r="C5" s="444"/>
      <c r="D5" s="444"/>
      <c r="E5" s="444"/>
      <c r="F5" s="444"/>
      <c r="G5" s="444"/>
      <c r="H5" s="444"/>
      <c r="I5" s="444"/>
      <c r="J5" s="444"/>
    </row>
    <row r="6" spans="2:29" ht="12.75">
      <c r="B6" s="453" t="s">
        <v>127</v>
      </c>
      <c r="C6" s="453"/>
      <c r="D6" s="453"/>
      <c r="E6" s="453"/>
      <c r="F6" s="453"/>
      <c r="G6" s="453"/>
      <c r="H6" s="367"/>
      <c r="I6" s="452"/>
      <c r="J6" s="45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0" ht="12.75" customHeight="1" thickBot="1">
      <c r="A7" s="429" t="s">
        <v>167</v>
      </c>
      <c r="B7" s="290"/>
      <c r="C7" s="229"/>
      <c r="D7" s="422" t="s">
        <v>169</v>
      </c>
      <c r="E7" s="447" t="s">
        <v>129</v>
      </c>
      <c r="F7" s="447"/>
      <c r="G7" s="447"/>
      <c r="H7" s="32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446"/>
      <c r="B8" s="266" t="s">
        <v>30</v>
      </c>
      <c r="C8" s="324" t="s">
        <v>133</v>
      </c>
      <c r="D8" s="439"/>
      <c r="E8" s="449" t="s">
        <v>25</v>
      </c>
      <c r="F8" s="448" t="s">
        <v>166</v>
      </c>
      <c r="G8" s="448"/>
      <c r="H8" s="324"/>
      <c r="I8" s="314" t="s">
        <v>128</v>
      </c>
      <c r="J8" s="314" t="s">
        <v>152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10" ht="12.75" customHeight="1">
      <c r="A9" s="446"/>
      <c r="B9" s="266" t="s">
        <v>31</v>
      </c>
      <c r="C9" s="324" t="s">
        <v>134</v>
      </c>
      <c r="D9" s="439"/>
      <c r="E9" s="450"/>
      <c r="F9" s="314" t="s">
        <v>130</v>
      </c>
      <c r="G9" s="314" t="s">
        <v>67</v>
      </c>
      <c r="H9" s="314"/>
      <c r="I9" s="314" t="s">
        <v>135</v>
      </c>
      <c r="J9" s="314" t="s">
        <v>153</v>
      </c>
    </row>
    <row r="10" spans="1:10" ht="13.5" thickBot="1">
      <c r="A10" s="430"/>
      <c r="B10" s="267" t="s">
        <v>32</v>
      </c>
      <c r="C10" s="300" t="s">
        <v>33</v>
      </c>
      <c r="D10" s="433"/>
      <c r="E10" s="451"/>
      <c r="F10" s="300" t="s">
        <v>131</v>
      </c>
      <c r="G10" s="300" t="s">
        <v>132</v>
      </c>
      <c r="H10" s="324"/>
      <c r="I10" s="300" t="s">
        <v>136</v>
      </c>
      <c r="J10" s="300" t="s">
        <v>27</v>
      </c>
    </row>
    <row r="11" spans="1:10" s="45" customFormat="1" ht="12.75">
      <c r="A11" s="49" t="s">
        <v>0</v>
      </c>
      <c r="B11" s="331">
        <f aca="true" t="shared" si="0" ref="B11:G11">SUM(B13:B40)</f>
        <v>157911.66</v>
      </c>
      <c r="C11" s="317">
        <f>SUM(C13:C40)</f>
        <v>1596221.95</v>
      </c>
      <c r="D11" s="317">
        <f t="shared" si="0"/>
        <v>4483948.81</v>
      </c>
      <c r="E11" s="317">
        <f t="shared" si="0"/>
        <v>171457.13</v>
      </c>
      <c r="F11" s="317">
        <f t="shared" si="0"/>
        <v>29815</v>
      </c>
      <c r="G11" s="317">
        <f t="shared" si="0"/>
        <v>896990</v>
      </c>
      <c r="H11" s="317"/>
      <c r="I11" s="316">
        <f>SUM(I13:I40)</f>
        <v>36897</v>
      </c>
      <c r="J11" s="317">
        <f>SUM(J13:J40)</f>
        <v>5668273.779999999</v>
      </c>
    </row>
    <row r="12" spans="1:10" ht="12.75">
      <c r="A12" s="3"/>
      <c r="B12" s="322"/>
      <c r="C12" s="248"/>
      <c r="D12" s="248"/>
      <c r="E12" s="248"/>
      <c r="F12" s="248"/>
      <c r="G12" s="248"/>
      <c r="H12" s="248"/>
      <c r="I12" s="250"/>
      <c r="J12" s="250"/>
    </row>
    <row r="13" spans="1:10" ht="12.75">
      <c r="A13" t="s">
        <v>1</v>
      </c>
      <c r="B13" s="229">
        <v>0</v>
      </c>
      <c r="C13" s="248">
        <v>88574.89</v>
      </c>
      <c r="D13" s="250">
        <v>747.27</v>
      </c>
      <c r="E13" s="236">
        <v>36693.13</v>
      </c>
      <c r="F13" s="236">
        <v>14662</v>
      </c>
      <c r="G13" s="236">
        <v>136020</v>
      </c>
      <c r="H13" s="236"/>
      <c r="I13" s="229">
        <v>0</v>
      </c>
      <c r="J13" s="236">
        <v>0</v>
      </c>
    </row>
    <row r="14" spans="1:10" ht="12.75">
      <c r="A14" t="s">
        <v>2</v>
      </c>
      <c r="B14" s="229">
        <v>13815.18</v>
      </c>
      <c r="C14" s="248">
        <v>89237.45</v>
      </c>
      <c r="D14" s="229">
        <v>197708.96</v>
      </c>
      <c r="E14" s="248">
        <v>0</v>
      </c>
      <c r="F14" s="248">
        <v>0</v>
      </c>
      <c r="G14" s="248">
        <v>0</v>
      </c>
      <c r="H14" s="248"/>
      <c r="I14" s="229">
        <v>0</v>
      </c>
      <c r="J14" s="236">
        <v>515407</v>
      </c>
    </row>
    <row r="15" spans="1:10" ht="12.75">
      <c r="A15" t="s">
        <v>3</v>
      </c>
      <c r="B15" s="229">
        <v>0</v>
      </c>
      <c r="C15" s="248">
        <v>0</v>
      </c>
      <c r="D15" s="229">
        <v>2937283.71</v>
      </c>
      <c r="E15" s="248">
        <v>0</v>
      </c>
      <c r="F15" s="248">
        <v>0</v>
      </c>
      <c r="G15" s="248">
        <v>0</v>
      </c>
      <c r="H15" s="248"/>
      <c r="I15" s="229">
        <v>0</v>
      </c>
      <c r="J15" s="236">
        <v>0</v>
      </c>
    </row>
    <row r="16" spans="1:10" ht="12.75">
      <c r="A16" t="s">
        <v>4</v>
      </c>
      <c r="B16" s="229">
        <v>0</v>
      </c>
      <c r="C16" s="248">
        <v>42238.92</v>
      </c>
      <c r="D16" s="229">
        <v>416961.44</v>
      </c>
      <c r="E16" s="236">
        <v>36028</v>
      </c>
      <c r="F16" s="236">
        <v>0</v>
      </c>
      <c r="G16" s="248">
        <v>270984</v>
      </c>
      <c r="H16" s="248"/>
      <c r="I16" s="229">
        <v>0</v>
      </c>
      <c r="J16" s="236">
        <v>3380235</v>
      </c>
    </row>
    <row r="17" spans="1:10" ht="12.75">
      <c r="A17" t="s">
        <v>5</v>
      </c>
      <c r="B17" s="229">
        <v>18139.98</v>
      </c>
      <c r="C17" s="248">
        <v>89471.09</v>
      </c>
      <c r="D17" s="229">
        <v>0</v>
      </c>
      <c r="E17" s="236">
        <v>4510</v>
      </c>
      <c r="F17" s="236">
        <v>12249</v>
      </c>
      <c r="G17" s="248">
        <v>183626</v>
      </c>
      <c r="H17" s="248"/>
      <c r="I17" s="229">
        <v>0</v>
      </c>
      <c r="J17" s="246">
        <v>0</v>
      </c>
    </row>
    <row r="18" spans="2:10" ht="12.75">
      <c r="B18" s="250"/>
      <c r="C18" s="248"/>
      <c r="D18" s="250"/>
      <c r="E18" s="248"/>
      <c r="F18" s="248"/>
      <c r="G18" s="248"/>
      <c r="H18" s="248"/>
      <c r="I18" s="250"/>
      <c r="J18" s="236"/>
    </row>
    <row r="19" spans="1:10" ht="12.75">
      <c r="A19" t="s">
        <v>6</v>
      </c>
      <c r="B19" s="229">
        <v>0</v>
      </c>
      <c r="C19" s="248">
        <v>73838.13</v>
      </c>
      <c r="D19" s="229">
        <v>19354.21</v>
      </c>
      <c r="E19" s="248">
        <v>0</v>
      </c>
      <c r="F19" s="248">
        <v>0</v>
      </c>
      <c r="G19" s="248">
        <v>0</v>
      </c>
      <c r="H19" s="248"/>
      <c r="I19" s="229">
        <v>0</v>
      </c>
      <c r="J19" s="236">
        <v>0</v>
      </c>
    </row>
    <row r="20" spans="1:10" ht="12.75">
      <c r="A20" t="s">
        <v>7</v>
      </c>
      <c r="B20" s="229">
        <v>0</v>
      </c>
      <c r="C20" s="248">
        <v>90436.72</v>
      </c>
      <c r="D20" s="229">
        <v>0</v>
      </c>
      <c r="E20" s="236">
        <v>0</v>
      </c>
      <c r="F20" s="236">
        <v>0</v>
      </c>
      <c r="G20" s="236">
        <v>0</v>
      </c>
      <c r="H20" s="236"/>
      <c r="I20" s="229">
        <v>0</v>
      </c>
      <c r="J20" s="236">
        <v>42951.41</v>
      </c>
    </row>
    <row r="21" spans="1:10" ht="12.75">
      <c r="A21" t="s">
        <v>8</v>
      </c>
      <c r="B21" s="229">
        <v>0</v>
      </c>
      <c r="C21" s="236">
        <v>30292.87</v>
      </c>
      <c r="D21" s="229">
        <v>65740.51</v>
      </c>
      <c r="E21" s="248">
        <v>0</v>
      </c>
      <c r="F21" s="248">
        <v>0</v>
      </c>
      <c r="G21" s="248">
        <v>0</v>
      </c>
      <c r="H21" s="248"/>
      <c r="I21" s="229">
        <v>0</v>
      </c>
      <c r="J21" s="246">
        <v>0</v>
      </c>
    </row>
    <row r="22" spans="1:10" ht="12.75">
      <c r="A22" t="s">
        <v>9</v>
      </c>
      <c r="B22" s="229">
        <v>0</v>
      </c>
      <c r="C22" s="248">
        <v>137431.41999999998</v>
      </c>
      <c r="D22" s="229">
        <v>0</v>
      </c>
      <c r="E22" s="236">
        <v>0</v>
      </c>
      <c r="F22" s="236">
        <v>0</v>
      </c>
      <c r="G22" s="236">
        <v>0</v>
      </c>
      <c r="H22" s="236"/>
      <c r="I22" s="229">
        <v>0</v>
      </c>
      <c r="J22" s="236">
        <v>57099.32</v>
      </c>
    </row>
    <row r="23" spans="1:10" ht="12.75">
      <c r="A23" t="s">
        <v>10</v>
      </c>
      <c r="B23" s="229">
        <v>0</v>
      </c>
      <c r="C23" s="248">
        <v>67933.75</v>
      </c>
      <c r="D23" s="229">
        <v>99490.65</v>
      </c>
      <c r="E23" s="236">
        <v>0</v>
      </c>
      <c r="F23" s="248">
        <v>0</v>
      </c>
      <c r="G23" s="236">
        <v>0</v>
      </c>
      <c r="H23" s="236"/>
      <c r="I23" s="229">
        <v>0</v>
      </c>
      <c r="J23" s="236">
        <v>4985</v>
      </c>
    </row>
    <row r="24" spans="2:10" ht="12.75">
      <c r="B24" s="250"/>
      <c r="C24" s="248"/>
      <c r="D24" s="250"/>
      <c r="E24" s="248"/>
      <c r="F24" s="248"/>
      <c r="G24" s="248"/>
      <c r="H24" s="248"/>
      <c r="I24" s="250"/>
      <c r="J24" s="236"/>
    </row>
    <row r="25" spans="1:10" ht="12.75">
      <c r="A25" t="s">
        <v>11</v>
      </c>
      <c r="B25" s="229">
        <v>0</v>
      </c>
      <c r="C25" s="248">
        <v>87219.45</v>
      </c>
      <c r="D25" s="229">
        <v>19144.4</v>
      </c>
      <c r="E25" s="236">
        <v>0</v>
      </c>
      <c r="F25" s="236">
        <v>0</v>
      </c>
      <c r="G25" s="236">
        <v>0</v>
      </c>
      <c r="H25" s="236"/>
      <c r="I25" s="229">
        <v>0</v>
      </c>
      <c r="J25" s="236">
        <v>11977.41</v>
      </c>
    </row>
    <row r="26" spans="1:13" ht="12.75">
      <c r="A26" t="s">
        <v>12</v>
      </c>
      <c r="B26" s="229">
        <v>0</v>
      </c>
      <c r="C26" s="248">
        <v>80924.25</v>
      </c>
      <c r="D26" s="248">
        <v>0</v>
      </c>
      <c r="E26" s="248">
        <v>0</v>
      </c>
      <c r="F26" s="248">
        <v>0</v>
      </c>
      <c r="G26" s="248">
        <v>0</v>
      </c>
      <c r="H26" s="248"/>
      <c r="I26" s="229">
        <v>0</v>
      </c>
      <c r="J26" s="236">
        <v>48585.33</v>
      </c>
      <c r="M26" s="340"/>
    </row>
    <row r="27" spans="1:13" ht="12.75">
      <c r="A27" t="s">
        <v>13</v>
      </c>
      <c r="B27" s="229">
        <v>18328.99</v>
      </c>
      <c r="C27" s="236">
        <v>58423.46</v>
      </c>
      <c r="D27" s="229">
        <v>150144.59</v>
      </c>
      <c r="E27" s="248">
        <v>0</v>
      </c>
      <c r="F27" s="248">
        <v>0</v>
      </c>
      <c r="G27" s="248">
        <v>0</v>
      </c>
      <c r="H27" s="248"/>
      <c r="I27" s="229">
        <v>0</v>
      </c>
      <c r="J27" s="236">
        <v>221207.82</v>
      </c>
      <c r="M27" s="340"/>
    </row>
    <row r="28" spans="1:13" ht="12.75">
      <c r="A28" t="s">
        <v>14</v>
      </c>
      <c r="B28" s="229">
        <v>12976.6</v>
      </c>
      <c r="C28" s="248">
        <v>100986.52</v>
      </c>
      <c r="D28" s="229">
        <v>24585.6</v>
      </c>
      <c r="E28" s="248">
        <v>0</v>
      </c>
      <c r="F28" s="248">
        <v>0</v>
      </c>
      <c r="G28" s="248">
        <v>0</v>
      </c>
      <c r="H28" s="248"/>
      <c r="I28" s="229">
        <v>0</v>
      </c>
      <c r="J28" s="247">
        <v>657631</v>
      </c>
      <c r="M28" s="340"/>
    </row>
    <row r="29" spans="1:10" ht="12.75">
      <c r="A29" t="s">
        <v>15</v>
      </c>
      <c r="B29" s="229">
        <v>0</v>
      </c>
      <c r="C29" s="248">
        <v>48726.95</v>
      </c>
      <c r="D29" s="229">
        <v>32259.6</v>
      </c>
      <c r="E29" s="236">
        <v>0</v>
      </c>
      <c r="F29" s="248">
        <v>0</v>
      </c>
      <c r="G29" s="236">
        <v>0</v>
      </c>
      <c r="H29" s="236"/>
      <c r="I29" s="229">
        <v>0</v>
      </c>
      <c r="J29" s="247">
        <v>0</v>
      </c>
    </row>
    <row r="30" spans="2:10" ht="12.75">
      <c r="B30" s="250"/>
      <c r="C30" s="248"/>
      <c r="D30" s="250"/>
      <c r="E30" s="248"/>
      <c r="F30" s="248"/>
      <c r="G30" s="248"/>
      <c r="H30" s="248"/>
      <c r="I30" s="250"/>
      <c r="J30" s="236"/>
    </row>
    <row r="31" spans="1:10" ht="12.75">
      <c r="A31" t="s">
        <v>16</v>
      </c>
      <c r="B31" s="229">
        <v>0</v>
      </c>
      <c r="C31" s="248">
        <v>20000</v>
      </c>
      <c r="D31" s="229">
        <v>273726.69</v>
      </c>
      <c r="E31" s="236">
        <v>0</v>
      </c>
      <c r="F31" s="248">
        <v>0</v>
      </c>
      <c r="G31" s="248">
        <v>0</v>
      </c>
      <c r="H31" s="248"/>
      <c r="I31" s="229">
        <v>0</v>
      </c>
      <c r="J31" s="236">
        <v>490544.76</v>
      </c>
    </row>
    <row r="32" spans="1:10" ht="12.75">
      <c r="A32" t="s">
        <v>17</v>
      </c>
      <c r="B32" s="229">
        <v>0</v>
      </c>
      <c r="C32" s="248">
        <v>19007.87</v>
      </c>
      <c r="D32" s="229">
        <v>112652</v>
      </c>
      <c r="E32" s="236">
        <v>0</v>
      </c>
      <c r="F32" s="236">
        <v>0</v>
      </c>
      <c r="G32" s="236">
        <v>0</v>
      </c>
      <c r="H32" s="236"/>
      <c r="I32" s="229">
        <v>0</v>
      </c>
      <c r="J32" s="236">
        <v>180797.23</v>
      </c>
    </row>
    <row r="33" spans="1:10" ht="12.75">
      <c r="A33" t="s">
        <v>18</v>
      </c>
      <c r="B33" s="229">
        <v>0</v>
      </c>
      <c r="C33" s="248">
        <v>129380.48</v>
      </c>
      <c r="D33" s="229">
        <v>0</v>
      </c>
      <c r="E33" s="236">
        <v>0</v>
      </c>
      <c r="F33" s="236">
        <v>0</v>
      </c>
      <c r="G33" s="236">
        <v>0</v>
      </c>
      <c r="H33" s="236"/>
      <c r="I33" s="229">
        <v>0</v>
      </c>
      <c r="J33" s="236">
        <v>8106</v>
      </c>
    </row>
    <row r="34" spans="1:10" ht="12.75">
      <c r="A34" t="s">
        <v>19</v>
      </c>
      <c r="B34" s="229">
        <v>0</v>
      </c>
      <c r="C34" s="236">
        <v>109939.38</v>
      </c>
      <c r="D34" s="229">
        <v>627.19</v>
      </c>
      <c r="E34" s="236">
        <v>3341</v>
      </c>
      <c r="F34" s="248">
        <v>0</v>
      </c>
      <c r="G34" s="236">
        <v>178120</v>
      </c>
      <c r="H34" s="236"/>
      <c r="I34" s="229">
        <v>0</v>
      </c>
      <c r="J34" s="236">
        <v>0</v>
      </c>
    </row>
    <row r="35" spans="1:10" ht="12.75">
      <c r="A35" t="s">
        <v>20</v>
      </c>
      <c r="B35" s="229">
        <v>0</v>
      </c>
      <c r="C35" s="248">
        <v>19708.68</v>
      </c>
      <c r="D35" s="250">
        <v>45709.72</v>
      </c>
      <c r="E35" s="236">
        <v>1199</v>
      </c>
      <c r="F35" s="248">
        <v>2904</v>
      </c>
      <c r="G35" s="248">
        <v>128240</v>
      </c>
      <c r="H35" s="248"/>
      <c r="I35" s="229">
        <v>0</v>
      </c>
      <c r="J35" s="236">
        <v>0</v>
      </c>
    </row>
    <row r="36" spans="2:10" ht="12.75">
      <c r="B36" s="250"/>
      <c r="C36" s="248"/>
      <c r="D36" s="250"/>
      <c r="E36" s="248"/>
      <c r="F36" s="248"/>
      <c r="G36" s="248"/>
      <c r="H36" s="248"/>
      <c r="I36" s="250"/>
      <c r="J36" s="236"/>
    </row>
    <row r="37" spans="1:10" ht="12.75">
      <c r="A37" t="s">
        <v>21</v>
      </c>
      <c r="B37" s="229">
        <v>0</v>
      </c>
      <c r="C37" s="248">
        <v>50000</v>
      </c>
      <c r="D37" s="229">
        <v>0</v>
      </c>
      <c r="E37" s="248">
        <v>0</v>
      </c>
      <c r="F37" s="248">
        <v>0</v>
      </c>
      <c r="G37" s="248">
        <v>0</v>
      </c>
      <c r="H37" s="248"/>
      <c r="I37" s="229">
        <v>0</v>
      </c>
      <c r="J37" s="236">
        <v>23771.52</v>
      </c>
    </row>
    <row r="38" spans="1:10" ht="12.75">
      <c r="A38" t="s">
        <v>22</v>
      </c>
      <c r="B38" s="250">
        <v>38503</v>
      </c>
      <c r="C38" s="248">
        <v>49301.92</v>
      </c>
      <c r="D38" s="229">
        <v>25449.75</v>
      </c>
      <c r="E38" s="236">
        <v>0</v>
      </c>
      <c r="F38" s="236">
        <v>0</v>
      </c>
      <c r="G38" s="236">
        <v>0</v>
      </c>
      <c r="H38" s="236"/>
      <c r="I38" s="229">
        <v>36897</v>
      </c>
      <c r="J38" s="236">
        <v>14274.64</v>
      </c>
    </row>
    <row r="39" spans="1:10" ht="12.75">
      <c r="A39" t="s">
        <v>23</v>
      </c>
      <c r="B39" s="250">
        <v>56147.91</v>
      </c>
      <c r="C39" s="248">
        <f>64440.48+17787.31</f>
        <v>82227.79000000001</v>
      </c>
      <c r="D39" s="229">
        <v>62362.52</v>
      </c>
      <c r="E39" s="248">
        <v>0</v>
      </c>
      <c r="F39" s="248">
        <v>0</v>
      </c>
      <c r="G39" s="248">
        <v>0</v>
      </c>
      <c r="H39" s="248"/>
      <c r="I39" s="229">
        <v>0</v>
      </c>
      <c r="J39" s="368">
        <v>10700.34</v>
      </c>
    </row>
    <row r="40" spans="1:10" ht="12.75">
      <c r="A40" s="12" t="s">
        <v>24</v>
      </c>
      <c r="B40" s="341">
        <v>0</v>
      </c>
      <c r="C40" s="230">
        <v>30919.96</v>
      </c>
      <c r="D40" s="230">
        <v>0</v>
      </c>
      <c r="E40" s="358">
        <v>89686</v>
      </c>
      <c r="F40" s="230">
        <v>0</v>
      </c>
      <c r="G40" s="230">
        <v>0</v>
      </c>
      <c r="H40" s="230"/>
      <c r="I40" s="230">
        <v>0</v>
      </c>
      <c r="J40" s="319">
        <v>0</v>
      </c>
    </row>
  </sheetData>
  <sheetProtection password="CAF5" sheet="1" objects="1" scenarios="1"/>
  <mergeCells count="10">
    <mergeCell ref="B5:J5"/>
    <mergeCell ref="A1:G1"/>
    <mergeCell ref="A3:G3"/>
    <mergeCell ref="A7:A10"/>
    <mergeCell ref="D7:D10"/>
    <mergeCell ref="E7:G7"/>
    <mergeCell ref="F8:G8"/>
    <mergeCell ref="E8:E10"/>
    <mergeCell ref="I6:J6"/>
    <mergeCell ref="B6:G6"/>
  </mergeCells>
  <printOptions horizontalCentered="1"/>
  <pageMargins left="0.44" right="0.37" top="0.83" bottom="1" header="0.67" footer="0.5"/>
  <pageSetup fitToHeight="1" fitToWidth="1" horizontalDpi="600" verticalDpi="600" orientation="landscape" scale="96" r:id="rId1"/>
  <headerFooter scaleWithDoc="0" alignWithMargins="0">
    <oddFooter>&amp;L&amp;"Arial,Italic"MSDE - LFRO   10 / 2011&amp;C- 9 -&amp;R&amp;"Arial,Italic"Selected Financial Data-Part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2008 PART 1 Released 10-8-2009</dc:title>
  <dc:subject>Updated as of 11-9-2009</dc:subject>
  <dc:creator>Ron Ieng</dc:creator>
  <cp:keywords/>
  <dc:description/>
  <cp:lastModifiedBy>rieng</cp:lastModifiedBy>
  <cp:lastPrinted>2011-11-08T22:41:30Z</cp:lastPrinted>
  <dcterms:created xsi:type="dcterms:W3CDTF">1998-03-02T22:29:13Z</dcterms:created>
  <dcterms:modified xsi:type="dcterms:W3CDTF">2011-11-09T23:35:50Z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158000.000000000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